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NABC\RESOURCES\Poultry and Livestock\Poultry Production &amp; Processing\Eggs n Layers\"/>
    </mc:Choice>
  </mc:AlternateContent>
  <bookViews>
    <workbookView xWindow="360" yWindow="156" windowWidth="13260" windowHeight="11580" tabRatio="735"/>
  </bookViews>
  <sheets>
    <sheet name="Cover" sheetId="4" r:id="rId1"/>
    <sheet name="Feed Calculators" sheetId="1" r:id="rId2"/>
    <sheet name="Egg collection report" sheetId="2" r:id="rId3"/>
    <sheet name="Egg calculator" sheetId="3" r:id="rId4"/>
    <sheet name="Pullet Weights" sheetId="5" r:id="rId5"/>
    <sheet name="Housing Scheduler" sheetId="6" r:id="rId6"/>
    <sheet name="Molt Schedule" sheetId="7" r:id="rId7"/>
    <sheet name="Egg profit calc" sheetId="8" r:id="rId8"/>
    <sheet name="Broiler profit calc" sheetId="9" r:id="rId9"/>
    <sheet name="Retail.Wholesale Price list" sheetId="10" r:id="rId10"/>
    <sheet name="Brooder temps" sheetId="11" r:id="rId11"/>
  </sheets>
  <definedNames>
    <definedName name="_xlnm.Print_Area" localSheetId="8">'Broiler profit calc'!$A$1:$L$38</definedName>
    <definedName name="_xlnm.Print_Area" localSheetId="7">'Egg profit calc'!$A$1:$N$53</definedName>
    <definedName name="_xlnm.Print_Area" localSheetId="1">'Feed Calculators'!$A$1:$J$59</definedName>
  </definedNames>
  <calcPr calcId="162913"/>
</workbook>
</file>

<file path=xl/calcChain.xml><?xml version="1.0" encoding="utf-8"?>
<calcChain xmlns="http://schemas.openxmlformats.org/spreadsheetml/2006/main">
  <c r="C10" i="11" l="1"/>
  <c r="C44" i="11"/>
  <c r="C43" i="11"/>
  <c r="C42" i="11"/>
  <c r="C41" i="11"/>
  <c r="C40" i="11"/>
  <c r="C39" i="11"/>
  <c r="C38" i="11"/>
  <c r="C37" i="11"/>
  <c r="C36" i="11"/>
  <c r="C35" i="11"/>
  <c r="C34" i="11"/>
  <c r="C33" i="11"/>
  <c r="C32" i="11"/>
  <c r="C31" i="11"/>
  <c r="C5" i="11"/>
  <c r="C4" i="11" s="1"/>
  <c r="B10" i="11"/>
  <c r="B11" i="11"/>
  <c r="B12" i="11" s="1"/>
  <c r="B13" i="11" s="1"/>
  <c r="B14" i="11" s="1"/>
  <c r="B15" i="11"/>
  <c r="B16" i="11" s="1"/>
  <c r="B17" i="11" s="1"/>
  <c r="B18" i="11" s="1"/>
  <c r="B19" i="11" s="1"/>
  <c r="B20" i="11" s="1"/>
  <c r="B21" i="11" s="1"/>
  <c r="B22" i="11" s="1"/>
  <c r="B23" i="11" s="1"/>
  <c r="B24" i="11" s="1"/>
  <c r="B25" i="11" s="1"/>
  <c r="B26" i="11" s="1"/>
  <c r="B27" i="11" s="1"/>
  <c r="B28" i="11" s="1"/>
  <c r="B29" i="11" s="1"/>
  <c r="B30" i="11" s="1"/>
  <c r="B31" i="11" s="1"/>
  <c r="B32" i="11" s="1"/>
  <c r="B33" i="11" s="1"/>
  <c r="B34" i="11" s="1"/>
  <c r="B35" i="11" s="1"/>
  <c r="B36" i="11" s="1"/>
  <c r="B37" i="11" s="1"/>
  <c r="B38" i="11" s="1"/>
  <c r="B39" i="11" s="1"/>
  <c r="B40" i="11" s="1"/>
  <c r="B41" i="11" s="1"/>
  <c r="B42" i="11" s="1"/>
  <c r="B43" i="11" s="1"/>
  <c r="B44" i="11" s="1"/>
  <c r="P20" i="10"/>
  <c r="L20" i="10"/>
  <c r="H20" i="10"/>
  <c r="P19" i="10"/>
  <c r="L19" i="10"/>
  <c r="H19" i="10"/>
  <c r="Q16" i="10"/>
  <c r="O16" i="10"/>
  <c r="P16" i="10" s="1"/>
  <c r="M16" i="10"/>
  <c r="K16" i="10"/>
  <c r="L16" i="10" s="1"/>
  <c r="I16" i="10"/>
  <c r="G16" i="10"/>
  <c r="H16" i="10" s="1"/>
  <c r="Q15" i="10"/>
  <c r="O15" i="10"/>
  <c r="P15" i="10" s="1"/>
  <c r="M15" i="10"/>
  <c r="L15" i="10"/>
  <c r="K15" i="10"/>
  <c r="I15" i="10"/>
  <c r="G15" i="10"/>
  <c r="H15" i="10" s="1"/>
  <c r="Q14" i="10"/>
  <c r="O14" i="10"/>
  <c r="P14" i="10" s="1"/>
  <c r="M14" i="10"/>
  <c r="K14" i="10"/>
  <c r="L14" i="10"/>
  <c r="I14" i="10"/>
  <c r="G14" i="10"/>
  <c r="H14" i="10" s="1"/>
  <c r="Q13" i="10"/>
  <c r="O13" i="10"/>
  <c r="P13" i="10" s="1"/>
  <c r="M13" i="10"/>
  <c r="L13" i="10"/>
  <c r="K13" i="10"/>
  <c r="I13" i="10"/>
  <c r="G13" i="10"/>
  <c r="H13" i="10" s="1"/>
  <c r="P12" i="10"/>
  <c r="L12" i="10"/>
  <c r="H12" i="10"/>
  <c r="G142" i="9"/>
  <c r="C142" i="9"/>
  <c r="L136" i="9"/>
  <c r="B130" i="9"/>
  <c r="E128" i="9"/>
  <c r="E127" i="9"/>
  <c r="E126" i="9"/>
  <c r="G125" i="9"/>
  <c r="E125" i="9"/>
  <c r="L124" i="9"/>
  <c r="D124" i="9"/>
  <c r="E124" i="9"/>
  <c r="D123" i="9"/>
  <c r="E123" i="9" s="1"/>
  <c r="L122" i="9"/>
  <c r="D122" i="9"/>
  <c r="E122" i="9" s="1"/>
  <c r="D121" i="9"/>
  <c r="E121" i="9" s="1"/>
  <c r="L120" i="9"/>
  <c r="D120" i="9"/>
  <c r="E120" i="9" s="1"/>
  <c r="G119" i="9"/>
  <c r="I119" i="9" s="1"/>
  <c r="D119" i="9"/>
  <c r="E119" i="9" s="1"/>
  <c r="G118" i="9"/>
  <c r="J122" i="9"/>
  <c r="L112" i="9" s="1"/>
  <c r="D118" i="9"/>
  <c r="E118" i="9" s="1"/>
  <c r="G117" i="9"/>
  <c r="I117" i="9" s="1"/>
  <c r="E117" i="9"/>
  <c r="D117" i="9"/>
  <c r="G116" i="9"/>
  <c r="I116" i="9" s="1"/>
  <c r="D116" i="9"/>
  <c r="E116" i="9" s="1"/>
  <c r="G115" i="9"/>
  <c r="I115" i="9" s="1"/>
  <c r="D115" i="9"/>
  <c r="E115" i="9" s="1"/>
  <c r="C115" i="9"/>
  <c r="D114" i="9"/>
  <c r="E114" i="9"/>
  <c r="D113" i="9"/>
  <c r="E113" i="9" s="1"/>
  <c r="C113" i="9"/>
  <c r="D112" i="9"/>
  <c r="E112" i="9" s="1"/>
  <c r="E129" i="9" s="1"/>
  <c r="L129" i="9" s="1"/>
  <c r="G107" i="9"/>
  <c r="C107" i="9"/>
  <c r="L101" i="9"/>
  <c r="B95" i="9"/>
  <c r="E93" i="9"/>
  <c r="E92" i="9"/>
  <c r="E91" i="9"/>
  <c r="G90" i="9"/>
  <c r="E90" i="9"/>
  <c r="L89" i="9"/>
  <c r="D89" i="9"/>
  <c r="E89" i="9" s="1"/>
  <c r="D88" i="9"/>
  <c r="E88" i="9" s="1"/>
  <c r="L87" i="9"/>
  <c r="D87" i="9"/>
  <c r="E87" i="9"/>
  <c r="D86" i="9"/>
  <c r="E86" i="9" s="1"/>
  <c r="L85" i="9"/>
  <c r="D85" i="9"/>
  <c r="E85" i="9" s="1"/>
  <c r="G84" i="9"/>
  <c r="I84" i="9" s="1"/>
  <c r="D84" i="9"/>
  <c r="E84" i="9" s="1"/>
  <c r="G83" i="9"/>
  <c r="D83" i="9"/>
  <c r="E83" i="9"/>
  <c r="G82" i="9"/>
  <c r="I82" i="9"/>
  <c r="D82" i="9"/>
  <c r="E82" i="9"/>
  <c r="G81" i="9"/>
  <c r="I81" i="9" s="1"/>
  <c r="D81" i="9"/>
  <c r="E81" i="9"/>
  <c r="G80" i="9"/>
  <c r="I80" i="9"/>
  <c r="D80" i="9"/>
  <c r="E80" i="9"/>
  <c r="C80" i="9"/>
  <c r="D79" i="9"/>
  <c r="E79" i="9" s="1"/>
  <c r="D78" i="9"/>
  <c r="C78" i="9"/>
  <c r="E78" i="9"/>
  <c r="D77" i="9"/>
  <c r="E77" i="9" s="1"/>
  <c r="E94" i="9" s="1"/>
  <c r="L94" i="9" s="1"/>
  <c r="G72" i="9"/>
  <c r="C72" i="9"/>
  <c r="L66" i="9"/>
  <c r="B60" i="9"/>
  <c r="E58" i="9"/>
  <c r="E57" i="9"/>
  <c r="E56" i="9"/>
  <c r="G55" i="9"/>
  <c r="C45" i="9" s="1"/>
  <c r="E45" i="9" s="1"/>
  <c r="E55" i="9"/>
  <c r="L54" i="9"/>
  <c r="D54" i="9"/>
  <c r="E54" i="9" s="1"/>
  <c r="D53" i="9"/>
  <c r="E53" i="9"/>
  <c r="L52" i="9"/>
  <c r="D52" i="9"/>
  <c r="E52" i="9" s="1"/>
  <c r="E51" i="9"/>
  <c r="D51" i="9"/>
  <c r="L50" i="9"/>
  <c r="D50" i="9"/>
  <c r="E50" i="9"/>
  <c r="G49" i="9"/>
  <c r="I49" i="9"/>
  <c r="D49" i="9"/>
  <c r="E49" i="9" s="1"/>
  <c r="G48" i="9"/>
  <c r="I48" i="9" s="1"/>
  <c r="D48" i="9"/>
  <c r="E48" i="9" s="1"/>
  <c r="G47" i="9"/>
  <c r="I47" i="9" s="1"/>
  <c r="D47" i="9"/>
  <c r="E47" i="9"/>
  <c r="G46" i="9"/>
  <c r="I46" i="9" s="1"/>
  <c r="D46" i="9"/>
  <c r="E46" i="9" s="1"/>
  <c r="G45" i="9"/>
  <c r="I45" i="9" s="1"/>
  <c r="D45" i="9"/>
  <c r="E44" i="9"/>
  <c r="D44" i="9"/>
  <c r="D43" i="9"/>
  <c r="E43" i="9" s="1"/>
  <c r="C43" i="9"/>
  <c r="D42" i="9"/>
  <c r="E42" i="9" s="1"/>
  <c r="G37" i="9"/>
  <c r="C37" i="9"/>
  <c r="L31" i="9"/>
  <c r="B25" i="9"/>
  <c r="D35" i="9" s="1"/>
  <c r="E35" i="9" s="1"/>
  <c r="E23" i="9"/>
  <c r="E22" i="9"/>
  <c r="E21" i="9"/>
  <c r="G20" i="9"/>
  <c r="E20" i="9"/>
  <c r="L19" i="9"/>
  <c r="E19" i="9"/>
  <c r="D19" i="9"/>
  <c r="D18" i="9"/>
  <c r="E18" i="9"/>
  <c r="L17" i="9"/>
  <c r="D17" i="9"/>
  <c r="E17" i="9" s="1"/>
  <c r="E16" i="9"/>
  <c r="D16" i="9"/>
  <c r="L15" i="9"/>
  <c r="D15" i="9"/>
  <c r="E15" i="9"/>
  <c r="G14" i="9"/>
  <c r="I14" i="9"/>
  <c r="D14" i="9"/>
  <c r="E14" i="9"/>
  <c r="G13" i="9"/>
  <c r="J17" i="9" s="1"/>
  <c r="L7" i="9" s="1"/>
  <c r="E13" i="9"/>
  <c r="D13" i="9"/>
  <c r="G12" i="9"/>
  <c r="I12" i="9" s="1"/>
  <c r="D12" i="9"/>
  <c r="E12" i="9" s="1"/>
  <c r="G11" i="9"/>
  <c r="I11" i="9" s="1"/>
  <c r="E11" i="9"/>
  <c r="D11" i="9"/>
  <c r="G10" i="9"/>
  <c r="I10" i="9" s="1"/>
  <c r="D10" i="9"/>
  <c r="E10" i="9" s="1"/>
  <c r="C10" i="9"/>
  <c r="D9" i="9"/>
  <c r="E9" i="9" s="1"/>
  <c r="D8" i="9"/>
  <c r="C8" i="9"/>
  <c r="E8" i="9" s="1"/>
  <c r="E7" i="9"/>
  <c r="D7" i="9"/>
  <c r="M48" i="8"/>
  <c r="J48" i="8"/>
  <c r="G48" i="8"/>
  <c r="D48" i="8"/>
  <c r="M35" i="8"/>
  <c r="J35" i="8"/>
  <c r="G35" i="8"/>
  <c r="D35" i="8"/>
  <c r="M28" i="8"/>
  <c r="J28" i="8"/>
  <c r="G28" i="8"/>
  <c r="D28" i="8"/>
  <c r="M21" i="8"/>
  <c r="J21" i="8"/>
  <c r="J25" i="8"/>
  <c r="J37" i="8" s="1"/>
  <c r="J43" i="8" s="1"/>
  <c r="G21" i="8"/>
  <c r="G22" i="8" s="1"/>
  <c r="G23" i="8" s="1"/>
  <c r="D21" i="8"/>
  <c r="D25" i="8" s="1"/>
  <c r="D37" i="8" s="1"/>
  <c r="D43" i="8" s="1"/>
  <c r="M19" i="8"/>
  <c r="J19" i="8"/>
  <c r="G19" i="8"/>
  <c r="D19" i="8"/>
  <c r="M18" i="8"/>
  <c r="J18" i="8"/>
  <c r="G18" i="8"/>
  <c r="D18" i="8"/>
  <c r="M10" i="8"/>
  <c r="M12" i="8" s="1"/>
  <c r="J10" i="8"/>
  <c r="J12" i="8" s="1"/>
  <c r="G10" i="8"/>
  <c r="G12" i="8" s="1"/>
  <c r="D10" i="8"/>
  <c r="D12" i="8" s="1"/>
  <c r="D24" i="3"/>
  <c r="D23" i="3"/>
  <c r="D22" i="3"/>
  <c r="D21" i="3"/>
  <c r="D20" i="3"/>
  <c r="D19" i="3"/>
  <c r="C23" i="3"/>
  <c r="C21" i="3"/>
  <c r="C20" i="3"/>
  <c r="C19" i="3"/>
  <c r="I24" i="6"/>
  <c r="J24" i="6" s="1"/>
  <c r="I23" i="6"/>
  <c r="J23" i="6" s="1"/>
  <c r="I22" i="6"/>
  <c r="J22" i="6" s="1"/>
  <c r="I21" i="6"/>
  <c r="J21" i="6" s="1"/>
  <c r="I20" i="6"/>
  <c r="J20" i="6" s="1"/>
  <c r="I19" i="6"/>
  <c r="J19" i="6" s="1"/>
  <c r="I18" i="6"/>
  <c r="J18" i="6" s="1"/>
  <c r="I17" i="6"/>
  <c r="J17" i="6" s="1"/>
  <c r="I16" i="6"/>
  <c r="J16" i="6" s="1"/>
  <c r="I15" i="6"/>
  <c r="J15" i="6" s="1"/>
  <c r="I14" i="6"/>
  <c r="J14" i="6" s="1"/>
  <c r="I13" i="6"/>
  <c r="J13" i="6" s="1"/>
  <c r="I12" i="6"/>
  <c r="J12" i="6" s="1"/>
  <c r="I11" i="6"/>
  <c r="J11" i="6" s="1"/>
  <c r="I10" i="6"/>
  <c r="J10" i="6" s="1"/>
  <c r="I9" i="6"/>
  <c r="J9" i="6" s="1"/>
  <c r="I8" i="6"/>
  <c r="J8" i="6" s="1"/>
  <c r="I7" i="6"/>
  <c r="J7" i="6" s="1"/>
  <c r="I6" i="6"/>
  <c r="C6" i="6"/>
  <c r="E6" i="6"/>
  <c r="G6" i="6" s="1"/>
  <c r="I5" i="6"/>
  <c r="J5" i="6" s="1"/>
  <c r="E5" i="6"/>
  <c r="G5" i="6" s="1"/>
  <c r="C11" i="11"/>
  <c r="C12" i="11" s="1"/>
  <c r="C13" i="11" s="1"/>
  <c r="C14" i="11" s="1"/>
  <c r="C15" i="11" s="1"/>
  <c r="C16" i="11" s="1"/>
  <c r="C17" i="11"/>
  <c r="C18" i="11" s="1"/>
  <c r="C19" i="11" s="1"/>
  <c r="C20" i="11" s="1"/>
  <c r="C21" i="11" s="1"/>
  <c r="C22" i="11" s="1"/>
  <c r="C23" i="11" s="1"/>
  <c r="C24" i="11" s="1"/>
  <c r="C25" i="11"/>
  <c r="C26" i="11" s="1"/>
  <c r="C27" i="11" s="1"/>
  <c r="C28" i="11"/>
  <c r="C29" i="11"/>
  <c r="C30" i="11"/>
  <c r="I13" i="9"/>
  <c r="D139" i="9"/>
  <c r="E139" i="9" s="1"/>
  <c r="D137" i="9"/>
  <c r="E137" i="9" s="1"/>
  <c r="D135" i="9"/>
  <c r="E135" i="9" s="1"/>
  <c r="D133" i="9"/>
  <c r="E133" i="9" s="1"/>
  <c r="D132" i="9"/>
  <c r="E132" i="9" s="1"/>
  <c r="D104" i="9"/>
  <c r="E104" i="9" s="1"/>
  <c r="D102" i="9"/>
  <c r="E102" i="9" s="1"/>
  <c r="D100" i="9"/>
  <c r="E100" i="9" s="1"/>
  <c r="D98" i="9"/>
  <c r="E98" i="9" s="1"/>
  <c r="D97" i="9"/>
  <c r="E97" i="9" s="1"/>
  <c r="E107" i="9" s="1"/>
  <c r="L82" i="9" s="1"/>
  <c r="D69" i="9"/>
  <c r="E69" i="9" s="1"/>
  <c r="D67" i="9"/>
  <c r="E67" i="9" s="1"/>
  <c r="D65" i="9"/>
  <c r="E65" i="9" s="1"/>
  <c r="D63" i="9"/>
  <c r="E63" i="9" s="1"/>
  <c r="D62" i="9"/>
  <c r="E62" i="9" s="1"/>
  <c r="D140" i="9"/>
  <c r="E140" i="9" s="1"/>
  <c r="D138" i="9"/>
  <c r="E138" i="9" s="1"/>
  <c r="D136" i="9"/>
  <c r="E136" i="9" s="1"/>
  <c r="D134" i="9"/>
  <c r="E134" i="9" s="1"/>
  <c r="D105" i="9"/>
  <c r="E105" i="9" s="1"/>
  <c r="D103" i="9"/>
  <c r="E103" i="9" s="1"/>
  <c r="D101" i="9"/>
  <c r="E101" i="9" s="1"/>
  <c r="D99" i="9"/>
  <c r="E99" i="9" s="1"/>
  <c r="D70" i="9"/>
  <c r="E70" i="9" s="1"/>
  <c r="D68" i="9"/>
  <c r="E68" i="9" s="1"/>
  <c r="D66" i="9"/>
  <c r="E66" i="9" s="1"/>
  <c r="D64" i="9"/>
  <c r="E64" i="9" s="1"/>
  <c r="D27" i="9"/>
  <c r="E27" i="9" s="1"/>
  <c r="D28" i="9"/>
  <c r="E28" i="9" s="1"/>
  <c r="D30" i="9"/>
  <c r="E30" i="9" s="1"/>
  <c r="D32" i="9"/>
  <c r="E32" i="9" s="1"/>
  <c r="D34" i="9"/>
  <c r="E34" i="9" s="1"/>
  <c r="D29" i="9"/>
  <c r="E29" i="9"/>
  <c r="D31" i="9"/>
  <c r="E31" i="9"/>
  <c r="D33" i="9"/>
  <c r="E33" i="9" s="1"/>
  <c r="I118" i="9"/>
  <c r="G24" i="8"/>
  <c r="G29" i="8"/>
  <c r="G31" i="8" s="1"/>
  <c r="G32" i="8" s="1"/>
  <c r="D22" i="8"/>
  <c r="D23" i="8"/>
  <c r="J22" i="8"/>
  <c r="J23" i="8" s="1"/>
  <c r="J24" i="8"/>
  <c r="J29" i="8" s="1"/>
  <c r="J31" i="8" s="1"/>
  <c r="J32" i="8" s="1"/>
  <c r="J6" i="6"/>
  <c r="C7" i="6"/>
  <c r="C8" i="6" s="1"/>
  <c r="E7" i="6"/>
  <c r="G7" i="6" s="1"/>
  <c r="I24" i="5"/>
  <c r="G24" i="5"/>
  <c r="F24" i="5"/>
  <c r="C24" i="5"/>
  <c r="I23" i="5"/>
  <c r="G23" i="5"/>
  <c r="F23" i="5"/>
  <c r="C23" i="5"/>
  <c r="I22" i="5"/>
  <c r="G22" i="5"/>
  <c r="F22" i="5"/>
  <c r="C22" i="5"/>
  <c r="I21" i="5"/>
  <c r="G21" i="5"/>
  <c r="F21" i="5"/>
  <c r="C21" i="5"/>
  <c r="I20" i="5"/>
  <c r="G20" i="5"/>
  <c r="F20" i="5"/>
  <c r="C20" i="5"/>
  <c r="I19" i="5"/>
  <c r="G19" i="5"/>
  <c r="F19" i="5"/>
  <c r="C19" i="5"/>
  <c r="I18" i="5"/>
  <c r="G18" i="5"/>
  <c r="F18" i="5"/>
  <c r="C18" i="5"/>
  <c r="I17" i="5"/>
  <c r="G17" i="5"/>
  <c r="F17" i="5"/>
  <c r="C17" i="5"/>
  <c r="I16" i="5"/>
  <c r="G16" i="5"/>
  <c r="F16" i="5"/>
  <c r="C16" i="5"/>
  <c r="I15" i="5"/>
  <c r="G15" i="5"/>
  <c r="F15" i="5"/>
  <c r="C15" i="5"/>
  <c r="I14" i="5"/>
  <c r="G14" i="5"/>
  <c r="F14" i="5"/>
  <c r="C14" i="5"/>
  <c r="I13" i="5"/>
  <c r="G13" i="5"/>
  <c r="F13" i="5"/>
  <c r="C13" i="5"/>
  <c r="I12" i="5"/>
  <c r="G12" i="5"/>
  <c r="F12" i="5"/>
  <c r="C12" i="5"/>
  <c r="I11" i="5"/>
  <c r="G11" i="5"/>
  <c r="F11" i="5"/>
  <c r="C11" i="5"/>
  <c r="I10" i="5"/>
  <c r="G10" i="5"/>
  <c r="F10" i="5"/>
  <c r="C10" i="5"/>
  <c r="I9" i="5"/>
  <c r="G9" i="5"/>
  <c r="F9" i="5"/>
  <c r="C9" i="5"/>
  <c r="I8" i="5"/>
  <c r="G8" i="5"/>
  <c r="F8" i="5"/>
  <c r="C8" i="5"/>
  <c r="I7" i="5"/>
  <c r="G7" i="5"/>
  <c r="F7" i="5"/>
  <c r="I6" i="5"/>
  <c r="G6" i="5"/>
  <c r="F6" i="5"/>
  <c r="I5" i="5"/>
  <c r="G5" i="5"/>
  <c r="F5" i="5"/>
  <c r="H16" i="3"/>
  <c r="H15" i="3"/>
  <c r="H14" i="3"/>
  <c r="H13" i="3"/>
  <c r="H12" i="3"/>
  <c r="H11" i="3"/>
  <c r="H7" i="3"/>
  <c r="C24" i="3"/>
  <c r="C7" i="3"/>
  <c r="H5" i="3"/>
  <c r="G5" i="3"/>
  <c r="F5" i="3"/>
  <c r="E5" i="3"/>
  <c r="D5" i="3"/>
  <c r="C5" i="3"/>
  <c r="N143" i="2"/>
  <c r="K143" i="2"/>
  <c r="L143" i="2"/>
  <c r="K141" i="2"/>
  <c r="L141" i="2"/>
  <c r="K139" i="2"/>
  <c r="L139" i="2" s="1"/>
  <c r="E142" i="2"/>
  <c r="K137" i="2"/>
  <c r="L137" i="2" s="1"/>
  <c r="C137" i="2"/>
  <c r="C139" i="2"/>
  <c r="C141" i="2" s="1"/>
  <c r="C143" i="2" s="1"/>
  <c r="M143" i="2" s="1"/>
  <c r="B137" i="2"/>
  <c r="B139" i="2" s="1"/>
  <c r="B141" i="2" s="1"/>
  <c r="B143" i="2" s="1"/>
  <c r="J136" i="2"/>
  <c r="J138" i="2"/>
  <c r="J140" i="2" s="1"/>
  <c r="I136" i="2"/>
  <c r="I138" i="2" s="1"/>
  <c r="I140" i="2" s="1"/>
  <c r="H136" i="2"/>
  <c r="H138" i="2" s="1"/>
  <c r="H140" i="2" s="1"/>
  <c r="G136" i="2"/>
  <c r="G138" i="2" s="1"/>
  <c r="G140" i="2" s="1"/>
  <c r="F136" i="2"/>
  <c r="F138" i="2"/>
  <c r="F140" i="2" s="1"/>
  <c r="F142" i="2"/>
  <c r="E136" i="2"/>
  <c r="E138" i="2" s="1"/>
  <c r="E140" i="2" s="1"/>
  <c r="D136" i="2"/>
  <c r="D138" i="2" s="1"/>
  <c r="D140" i="2" s="1"/>
  <c r="D142" i="2" s="1"/>
  <c r="B136" i="2"/>
  <c r="B138" i="2" s="1"/>
  <c r="B140" i="2"/>
  <c r="B142" i="2" s="1"/>
  <c r="K135" i="2"/>
  <c r="L135" i="2" s="1"/>
  <c r="N131" i="2"/>
  <c r="M131" i="2" s="1"/>
  <c r="K131" i="2"/>
  <c r="L131" i="2"/>
  <c r="K129" i="2"/>
  <c r="L129" i="2"/>
  <c r="K127" i="2"/>
  <c r="L127" i="2" s="1"/>
  <c r="K125" i="2"/>
  <c r="L125" i="2"/>
  <c r="C125" i="2"/>
  <c r="C127" i="2"/>
  <c r="C129" i="2" s="1"/>
  <c r="C131" i="2" s="1"/>
  <c r="B125" i="2"/>
  <c r="B127" i="2" s="1"/>
  <c r="B129" i="2" s="1"/>
  <c r="B131" i="2" s="1"/>
  <c r="J124" i="2"/>
  <c r="J126" i="2" s="1"/>
  <c r="J128" i="2"/>
  <c r="I124" i="2"/>
  <c r="I126" i="2"/>
  <c r="I128" i="2"/>
  <c r="H124" i="2"/>
  <c r="H126" i="2" s="1"/>
  <c r="H128" i="2"/>
  <c r="G124" i="2"/>
  <c r="G126" i="2"/>
  <c r="G128" i="2" s="1"/>
  <c r="F124" i="2"/>
  <c r="F126" i="2" s="1"/>
  <c r="F128" i="2" s="1"/>
  <c r="E124" i="2"/>
  <c r="E126" i="2"/>
  <c r="E128" i="2" s="1"/>
  <c r="E130" i="2" s="1"/>
  <c r="D124" i="2"/>
  <c r="D126" i="2"/>
  <c r="D128" i="2"/>
  <c r="D130" i="2" s="1"/>
  <c r="B124" i="2"/>
  <c r="B126" i="2"/>
  <c r="B128" i="2" s="1"/>
  <c r="B130" i="2"/>
  <c r="K123" i="2"/>
  <c r="L123" i="2" s="1"/>
  <c r="N119" i="2"/>
  <c r="K119" i="2"/>
  <c r="L119" i="2" s="1"/>
  <c r="K117" i="2"/>
  <c r="L117" i="2"/>
  <c r="K115" i="2"/>
  <c r="C115" i="2"/>
  <c r="C117" i="2" s="1"/>
  <c r="J114" i="2"/>
  <c r="J116" i="2" s="1"/>
  <c r="F114" i="2"/>
  <c r="F116" i="2"/>
  <c r="F118" i="2" s="1"/>
  <c r="K113" i="2"/>
  <c r="L113" i="2" s="1"/>
  <c r="C113" i="2"/>
  <c r="B113" i="2"/>
  <c r="B115" i="2" s="1"/>
  <c r="B117" i="2" s="1"/>
  <c r="B119" i="2" s="1"/>
  <c r="J112" i="2"/>
  <c r="I112" i="2"/>
  <c r="I114" i="2" s="1"/>
  <c r="I116" i="2"/>
  <c r="H112" i="2"/>
  <c r="H114" i="2" s="1"/>
  <c r="H116" i="2" s="1"/>
  <c r="G112" i="2"/>
  <c r="G114" i="2" s="1"/>
  <c r="G116" i="2"/>
  <c r="F112" i="2"/>
  <c r="E112" i="2"/>
  <c r="E114" i="2" s="1"/>
  <c r="E116" i="2"/>
  <c r="E118" i="2" s="1"/>
  <c r="D112" i="2"/>
  <c r="D114" i="2" s="1"/>
  <c r="D116" i="2" s="1"/>
  <c r="D118" i="2" s="1"/>
  <c r="B112" i="2"/>
  <c r="B114" i="2"/>
  <c r="B116" i="2" s="1"/>
  <c r="B118" i="2"/>
  <c r="K111" i="2"/>
  <c r="M111" i="2"/>
  <c r="N107" i="2"/>
  <c r="K107" i="2"/>
  <c r="K105" i="2"/>
  <c r="M105" i="2"/>
  <c r="K103" i="2"/>
  <c r="B103" i="2"/>
  <c r="B105" i="2" s="1"/>
  <c r="B107" i="2" s="1"/>
  <c r="I102" i="2"/>
  <c r="I104" i="2"/>
  <c r="E102" i="2"/>
  <c r="E104" i="2"/>
  <c r="E106" i="2" s="1"/>
  <c r="K101" i="2"/>
  <c r="M101" i="2" s="1"/>
  <c r="C101" i="2"/>
  <c r="C103" i="2"/>
  <c r="C105" i="2" s="1"/>
  <c r="C107" i="2" s="1"/>
  <c r="M107" i="2" s="1"/>
  <c r="B101" i="2"/>
  <c r="J100" i="2"/>
  <c r="J102" i="2" s="1"/>
  <c r="J104" i="2" s="1"/>
  <c r="I100" i="2"/>
  <c r="H100" i="2"/>
  <c r="H102" i="2" s="1"/>
  <c r="H104" i="2"/>
  <c r="G100" i="2"/>
  <c r="G102" i="2" s="1"/>
  <c r="G104" i="2" s="1"/>
  <c r="F100" i="2"/>
  <c r="F102" i="2"/>
  <c r="F104" i="2" s="1"/>
  <c r="E100" i="2"/>
  <c r="D100" i="2"/>
  <c r="D102" i="2" s="1"/>
  <c r="D104" i="2"/>
  <c r="D106" i="2" s="1"/>
  <c r="B100" i="2"/>
  <c r="B102" i="2" s="1"/>
  <c r="B104" i="2" s="1"/>
  <c r="B106" i="2" s="1"/>
  <c r="K99" i="2"/>
  <c r="M99" i="2" s="1"/>
  <c r="N95" i="2"/>
  <c r="K95" i="2"/>
  <c r="K93" i="2"/>
  <c r="L93" i="2" s="1"/>
  <c r="L91" i="2"/>
  <c r="K91" i="2"/>
  <c r="M91" i="2"/>
  <c r="J90" i="2"/>
  <c r="J92" i="2" s="1"/>
  <c r="H90" i="2"/>
  <c r="H92" i="2" s="1"/>
  <c r="F90" i="2"/>
  <c r="F92" i="2" s="1"/>
  <c r="F94" i="2" s="1"/>
  <c r="D90" i="2"/>
  <c r="D92" i="2"/>
  <c r="D94" i="2" s="1"/>
  <c r="K89" i="2"/>
  <c r="L89" i="2" s="1"/>
  <c r="C89" i="2"/>
  <c r="C91" i="2" s="1"/>
  <c r="C93" i="2" s="1"/>
  <c r="B89" i="2"/>
  <c r="B91" i="2"/>
  <c r="B93" i="2"/>
  <c r="B95" i="2" s="1"/>
  <c r="J88" i="2"/>
  <c r="I88" i="2"/>
  <c r="I90" i="2" s="1"/>
  <c r="I92" i="2" s="1"/>
  <c r="H88" i="2"/>
  <c r="G88" i="2"/>
  <c r="G90" i="2"/>
  <c r="G92" i="2"/>
  <c r="F88" i="2"/>
  <c r="E88" i="2"/>
  <c r="E90" i="2"/>
  <c r="E92" i="2" s="1"/>
  <c r="E94" i="2" s="1"/>
  <c r="D88" i="2"/>
  <c r="B88" i="2"/>
  <c r="B90" i="2"/>
  <c r="B92" i="2" s="1"/>
  <c r="B94" i="2"/>
  <c r="K87" i="2"/>
  <c r="M87" i="2" s="1"/>
  <c r="N83" i="2"/>
  <c r="M83" i="2" s="1"/>
  <c r="K83" i="2"/>
  <c r="L81" i="2"/>
  <c r="K81" i="2"/>
  <c r="K79" i="2"/>
  <c r="B79" i="2"/>
  <c r="B81" i="2" s="1"/>
  <c r="B83" i="2" s="1"/>
  <c r="I78" i="2"/>
  <c r="I80" i="2"/>
  <c r="K77" i="2"/>
  <c r="C77" i="2"/>
  <c r="M77" i="2" s="1"/>
  <c r="C79" i="2"/>
  <c r="C81" i="2" s="1"/>
  <c r="C83" i="2" s="1"/>
  <c r="B77" i="2"/>
  <c r="J76" i="2"/>
  <c r="J78" i="2" s="1"/>
  <c r="J80" i="2"/>
  <c r="I76" i="2"/>
  <c r="H76" i="2"/>
  <c r="H78" i="2" s="1"/>
  <c r="H80" i="2"/>
  <c r="G76" i="2"/>
  <c r="G78" i="2" s="1"/>
  <c r="G80" i="2" s="1"/>
  <c r="F76" i="2"/>
  <c r="F78" i="2" s="1"/>
  <c r="F80" i="2"/>
  <c r="F82" i="2" s="1"/>
  <c r="E76" i="2"/>
  <c r="E78" i="2" s="1"/>
  <c r="E80" i="2" s="1"/>
  <c r="E82" i="2" s="1"/>
  <c r="D76" i="2"/>
  <c r="D78" i="2"/>
  <c r="D80" i="2"/>
  <c r="D82" i="2"/>
  <c r="B76" i="2"/>
  <c r="B78" i="2"/>
  <c r="B80" i="2" s="1"/>
  <c r="B82" i="2" s="1"/>
  <c r="K75" i="2"/>
  <c r="M75" i="2"/>
  <c r="N71" i="2"/>
  <c r="K71" i="2"/>
  <c r="K72" i="2" s="1"/>
  <c r="L72" i="2" s="1"/>
  <c r="K69" i="2"/>
  <c r="L69" i="2"/>
  <c r="K67" i="2"/>
  <c r="K65" i="2"/>
  <c r="L65" i="2" s="1"/>
  <c r="C65" i="2"/>
  <c r="C67" i="2" s="1"/>
  <c r="B65" i="2"/>
  <c r="B67" i="2" s="1"/>
  <c r="B69" i="2" s="1"/>
  <c r="B71" i="2" s="1"/>
  <c r="J64" i="2"/>
  <c r="J66" i="2"/>
  <c r="J68" i="2"/>
  <c r="I64" i="2"/>
  <c r="I66" i="2"/>
  <c r="I68" i="2"/>
  <c r="H64" i="2"/>
  <c r="H66" i="2" s="1"/>
  <c r="H68" i="2"/>
  <c r="G64" i="2"/>
  <c r="G66" i="2"/>
  <c r="G68" i="2" s="1"/>
  <c r="F64" i="2"/>
  <c r="F66" i="2" s="1"/>
  <c r="F68" i="2" s="1"/>
  <c r="E64" i="2"/>
  <c r="E66" i="2"/>
  <c r="E68" i="2"/>
  <c r="E70" i="2" s="1"/>
  <c r="D64" i="2"/>
  <c r="D66" i="2"/>
  <c r="D68" i="2" s="1"/>
  <c r="D70" i="2" s="1"/>
  <c r="B64" i="2"/>
  <c r="B66" i="2"/>
  <c r="B68" i="2"/>
  <c r="B70" i="2" s="1"/>
  <c r="K63" i="2"/>
  <c r="M63" i="2"/>
  <c r="N59" i="2"/>
  <c r="K59" i="2"/>
  <c r="K60" i="2" s="1"/>
  <c r="L60" i="2" s="1"/>
  <c r="K57" i="2"/>
  <c r="L57" i="2"/>
  <c r="K55" i="2"/>
  <c r="I54" i="2"/>
  <c r="I56" i="2" s="1"/>
  <c r="E54" i="2"/>
  <c r="E56" i="2" s="1"/>
  <c r="E58" i="2" s="1"/>
  <c r="K53" i="2"/>
  <c r="M53" i="2" s="1"/>
  <c r="M60" i="2" s="1"/>
  <c r="C53" i="2"/>
  <c r="C55" i="2" s="1"/>
  <c r="C57" i="2"/>
  <c r="C59" i="2" s="1"/>
  <c r="M59" i="2" s="1"/>
  <c r="B53" i="2"/>
  <c r="B55" i="2" s="1"/>
  <c r="B57" i="2" s="1"/>
  <c r="B59" i="2" s="1"/>
  <c r="J52" i="2"/>
  <c r="J54" i="2" s="1"/>
  <c r="J56" i="2" s="1"/>
  <c r="I52" i="2"/>
  <c r="H52" i="2"/>
  <c r="H54" i="2"/>
  <c r="H56" i="2" s="1"/>
  <c r="G52" i="2"/>
  <c r="G54" i="2" s="1"/>
  <c r="G56" i="2" s="1"/>
  <c r="F52" i="2"/>
  <c r="F54" i="2" s="1"/>
  <c r="F56" i="2" s="1"/>
  <c r="F58" i="2" s="1"/>
  <c r="E52" i="2"/>
  <c r="D52" i="2"/>
  <c r="D54" i="2" s="1"/>
  <c r="D56" i="2" s="1"/>
  <c r="D58" i="2" s="1"/>
  <c r="B52" i="2"/>
  <c r="B54" i="2"/>
  <c r="B56" i="2" s="1"/>
  <c r="B58" i="2" s="1"/>
  <c r="K51" i="2"/>
  <c r="M51" i="2"/>
  <c r="N47" i="2"/>
  <c r="K47" i="2"/>
  <c r="K48" i="2" s="1"/>
  <c r="L48" i="2" s="1"/>
  <c r="L47" i="2"/>
  <c r="K45" i="2"/>
  <c r="L45" i="2" s="1"/>
  <c r="K43" i="2"/>
  <c r="L43" i="2"/>
  <c r="I42" i="2"/>
  <c r="I44" i="2" s="1"/>
  <c r="E42" i="2"/>
  <c r="E44" i="2"/>
  <c r="E46" i="2" s="1"/>
  <c r="K41" i="2"/>
  <c r="L41" i="2" s="1"/>
  <c r="M41" i="2"/>
  <c r="C41" i="2"/>
  <c r="C43" i="2"/>
  <c r="C45" i="2" s="1"/>
  <c r="B41" i="2"/>
  <c r="B43" i="2" s="1"/>
  <c r="B45" i="2" s="1"/>
  <c r="B47" i="2" s="1"/>
  <c r="J40" i="2"/>
  <c r="J42" i="2"/>
  <c r="J44" i="2"/>
  <c r="I40" i="2"/>
  <c r="H40" i="2"/>
  <c r="H42" i="2" s="1"/>
  <c r="H44" i="2" s="1"/>
  <c r="G40" i="2"/>
  <c r="G42" i="2" s="1"/>
  <c r="G44" i="2" s="1"/>
  <c r="F40" i="2"/>
  <c r="F42" i="2"/>
  <c r="F44" i="2"/>
  <c r="E40" i="2"/>
  <c r="D40" i="2"/>
  <c r="D42" i="2" s="1"/>
  <c r="D44" i="2" s="1"/>
  <c r="D46" i="2" s="1"/>
  <c r="B40" i="2"/>
  <c r="B42" i="2"/>
  <c r="B44" i="2"/>
  <c r="B46" i="2" s="1"/>
  <c r="K39" i="2"/>
  <c r="L39" i="2" s="1"/>
  <c r="N35" i="2"/>
  <c r="K35" i="2"/>
  <c r="K33" i="2"/>
  <c r="L33" i="2"/>
  <c r="K31" i="2"/>
  <c r="M31" i="2" s="1"/>
  <c r="K29" i="2"/>
  <c r="L29" i="2" s="1"/>
  <c r="C29" i="2"/>
  <c r="C31" i="2"/>
  <c r="C33" i="2" s="1"/>
  <c r="B29" i="2"/>
  <c r="B31" i="2" s="1"/>
  <c r="B33" i="2" s="1"/>
  <c r="B35" i="2" s="1"/>
  <c r="J28" i="2"/>
  <c r="J30" i="2"/>
  <c r="J32" i="2" s="1"/>
  <c r="I28" i="2"/>
  <c r="I30" i="2"/>
  <c r="I32" i="2" s="1"/>
  <c r="H28" i="2"/>
  <c r="H30" i="2" s="1"/>
  <c r="H32" i="2" s="1"/>
  <c r="G28" i="2"/>
  <c r="G30" i="2" s="1"/>
  <c r="G32" i="2" s="1"/>
  <c r="F28" i="2"/>
  <c r="F30" i="2" s="1"/>
  <c r="F32" i="2" s="1"/>
  <c r="F34" i="2" s="1"/>
  <c r="E28" i="2"/>
  <c r="E30" i="2"/>
  <c r="E32" i="2" s="1"/>
  <c r="E34" i="2" s="1"/>
  <c r="D28" i="2"/>
  <c r="D30" i="2" s="1"/>
  <c r="D32" i="2" s="1"/>
  <c r="D34" i="2" s="1"/>
  <c r="B28" i="2"/>
  <c r="B30" i="2"/>
  <c r="B32" i="2" s="1"/>
  <c r="B34" i="2" s="1"/>
  <c r="K27" i="2"/>
  <c r="L27" i="2" s="1"/>
  <c r="N23" i="2"/>
  <c r="K23" i="2"/>
  <c r="K21" i="2"/>
  <c r="L21" i="2"/>
  <c r="K19" i="2"/>
  <c r="I18" i="2"/>
  <c r="I20" i="2" s="1"/>
  <c r="E18" i="2"/>
  <c r="E20" i="2"/>
  <c r="L17" i="2"/>
  <c r="K17" i="2"/>
  <c r="M17" i="2"/>
  <c r="C17" i="2"/>
  <c r="C19" i="2"/>
  <c r="C21" i="2"/>
  <c r="C23" i="2" s="1"/>
  <c r="M23" i="2" s="1"/>
  <c r="M24" i="2" s="1"/>
  <c r="B17" i="2"/>
  <c r="B19" i="2" s="1"/>
  <c r="B21" i="2" s="1"/>
  <c r="B23" i="2" s="1"/>
  <c r="J16" i="2"/>
  <c r="J18" i="2" s="1"/>
  <c r="J20" i="2" s="1"/>
  <c r="I16" i="2"/>
  <c r="H16" i="2"/>
  <c r="H18" i="2"/>
  <c r="H20" i="2" s="1"/>
  <c r="G16" i="2"/>
  <c r="G18" i="2" s="1"/>
  <c r="G20" i="2" s="1"/>
  <c r="F16" i="2"/>
  <c r="F18" i="2" s="1"/>
  <c r="F20" i="2" s="1"/>
  <c r="E16" i="2"/>
  <c r="D16" i="2"/>
  <c r="D18" i="2"/>
  <c r="D20" i="2" s="1"/>
  <c r="D22" i="2" s="1"/>
  <c r="B16" i="2"/>
  <c r="B18" i="2" s="1"/>
  <c r="B20" i="2" s="1"/>
  <c r="B22" i="2" s="1"/>
  <c r="K15" i="2"/>
  <c r="M15" i="2"/>
  <c r="N11" i="2"/>
  <c r="K11" i="2"/>
  <c r="M11" i="2" s="1"/>
  <c r="L11" i="2"/>
  <c r="K9" i="2"/>
  <c r="L9" i="2"/>
  <c r="K7" i="2"/>
  <c r="L7" i="2"/>
  <c r="H6" i="2"/>
  <c r="H8" i="2"/>
  <c r="K5" i="2"/>
  <c r="M5" i="2" s="1"/>
  <c r="M12" i="2" s="1"/>
  <c r="L5" i="2"/>
  <c r="C5" i="2"/>
  <c r="C7" i="2"/>
  <c r="B5" i="2"/>
  <c r="B7" i="2"/>
  <c r="B9" i="2"/>
  <c r="B11" i="2" s="1"/>
  <c r="J4" i="2"/>
  <c r="J6" i="2" s="1"/>
  <c r="J8" i="2" s="1"/>
  <c r="I4" i="2"/>
  <c r="I6" i="2" s="1"/>
  <c r="I8" i="2" s="1"/>
  <c r="H4" i="2"/>
  <c r="G4" i="2"/>
  <c r="G6" i="2"/>
  <c r="G8" i="2" s="1"/>
  <c r="F4" i="2"/>
  <c r="F6" i="2" s="1"/>
  <c r="F8" i="2" s="1"/>
  <c r="F10" i="2" s="1"/>
  <c r="E4" i="2"/>
  <c r="E6" i="2" s="1"/>
  <c r="E8" i="2" s="1"/>
  <c r="E10" i="2" s="1"/>
  <c r="D4" i="2"/>
  <c r="D6" i="2" s="1"/>
  <c r="D8" i="2" s="1"/>
  <c r="D10" i="2" s="1"/>
  <c r="B4" i="2"/>
  <c r="B6" i="2" s="1"/>
  <c r="B8" i="2" s="1"/>
  <c r="B10" i="2" s="1"/>
  <c r="K3" i="2"/>
  <c r="M3" i="2"/>
  <c r="F53" i="1"/>
  <c r="H53" i="1" s="1"/>
  <c r="L53" i="1"/>
  <c r="F52" i="1"/>
  <c r="H52" i="1" s="1"/>
  <c r="F51" i="1"/>
  <c r="H51" i="1" s="1"/>
  <c r="I51" i="1"/>
  <c r="M51" i="1" s="1"/>
  <c r="F50" i="1"/>
  <c r="H50" i="1" s="1"/>
  <c r="I50" i="1"/>
  <c r="F49" i="1"/>
  <c r="H49" i="1" s="1"/>
  <c r="L49" i="1"/>
  <c r="F48" i="1"/>
  <c r="H48" i="1" s="1"/>
  <c r="F47" i="1"/>
  <c r="H47" i="1" s="1"/>
  <c r="I47" i="1"/>
  <c r="M47" i="1" s="1"/>
  <c r="J47" i="1"/>
  <c r="F46" i="1"/>
  <c r="H46" i="1" s="1"/>
  <c r="F45" i="1"/>
  <c r="H45" i="1" s="1"/>
  <c r="I45" i="1" s="1"/>
  <c r="D57" i="1"/>
  <c r="E57" i="1"/>
  <c r="C55" i="1"/>
  <c r="L55" i="1" s="1"/>
  <c r="M55" i="1"/>
  <c r="I54" i="1"/>
  <c r="M54" i="1"/>
  <c r="F54" i="1"/>
  <c r="L54" i="1"/>
  <c r="B54" i="1"/>
  <c r="E53" i="1"/>
  <c r="G53" i="1"/>
  <c r="B53" i="1"/>
  <c r="E52" i="1"/>
  <c r="G52" i="1"/>
  <c r="B52" i="1"/>
  <c r="E51" i="1"/>
  <c r="G51" i="1"/>
  <c r="B51" i="1"/>
  <c r="L50" i="1"/>
  <c r="E50" i="1"/>
  <c r="G50" i="1" s="1"/>
  <c r="B50" i="1"/>
  <c r="E49" i="1"/>
  <c r="G49" i="1"/>
  <c r="B49" i="1"/>
  <c r="E48" i="1"/>
  <c r="G48" i="1"/>
  <c r="B48" i="1"/>
  <c r="E47" i="1"/>
  <c r="G47" i="1" s="1"/>
  <c r="G57" i="1" s="1"/>
  <c r="C47" i="1"/>
  <c r="E46" i="1"/>
  <c r="G46" i="1"/>
  <c r="C46" i="1"/>
  <c r="L46" i="1" s="1"/>
  <c r="E45" i="1"/>
  <c r="G45" i="1"/>
  <c r="C45" i="1"/>
  <c r="J43" i="1"/>
  <c r="E43" i="1"/>
  <c r="F33" i="1"/>
  <c r="F32" i="1"/>
  <c r="H32" i="1"/>
  <c r="I32" i="1" s="1"/>
  <c r="F31" i="1"/>
  <c r="F30" i="1"/>
  <c r="H30" i="1"/>
  <c r="I30" i="1"/>
  <c r="M30" i="1" s="1"/>
  <c r="F29" i="1"/>
  <c r="H29" i="1" s="1"/>
  <c r="I29" i="1" s="1"/>
  <c r="F28" i="1"/>
  <c r="H28" i="1" s="1"/>
  <c r="I28" i="1" s="1"/>
  <c r="F27" i="1"/>
  <c r="H27" i="1"/>
  <c r="F26" i="1"/>
  <c r="F37" i="1" s="1"/>
  <c r="F34" i="1"/>
  <c r="L34" i="1"/>
  <c r="F25" i="1"/>
  <c r="H25" i="1"/>
  <c r="G34" i="1"/>
  <c r="E31" i="1"/>
  <c r="G31" i="1"/>
  <c r="B31" i="1"/>
  <c r="D37" i="1"/>
  <c r="E37" i="1"/>
  <c r="C35" i="1"/>
  <c r="I34" i="1"/>
  <c r="B34" i="1"/>
  <c r="E33" i="1"/>
  <c r="G33" i="1"/>
  <c r="B33" i="1"/>
  <c r="E32" i="1"/>
  <c r="G32" i="1"/>
  <c r="B32" i="1"/>
  <c r="E30" i="1"/>
  <c r="G30" i="1"/>
  <c r="B30" i="1"/>
  <c r="E29" i="1"/>
  <c r="G29" i="1"/>
  <c r="B29" i="1"/>
  <c r="E28" i="1"/>
  <c r="G28" i="1" s="1"/>
  <c r="B28" i="1"/>
  <c r="E27" i="1"/>
  <c r="G27" i="1" s="1"/>
  <c r="C27" i="1"/>
  <c r="L27" i="1" s="1"/>
  <c r="E26" i="1"/>
  <c r="G26" i="1" s="1"/>
  <c r="C26" i="1"/>
  <c r="E25" i="1"/>
  <c r="G25" i="1"/>
  <c r="C25" i="1"/>
  <c r="J23" i="1"/>
  <c r="E23" i="1"/>
  <c r="F13" i="1"/>
  <c r="L13" i="1" s="1"/>
  <c r="E13" i="1"/>
  <c r="G13" i="1"/>
  <c r="B13" i="1"/>
  <c r="F10" i="1"/>
  <c r="H10" i="1" s="1"/>
  <c r="I10" i="1" s="1"/>
  <c r="L10" i="1"/>
  <c r="E10" i="1"/>
  <c r="G10" i="1"/>
  <c r="B10" i="1"/>
  <c r="B14" i="1"/>
  <c r="B12" i="1"/>
  <c r="B11" i="1"/>
  <c r="B9" i="1"/>
  <c r="C15" i="1"/>
  <c r="L15" i="1" s="1"/>
  <c r="C8" i="1"/>
  <c r="C7" i="1"/>
  <c r="C6" i="1"/>
  <c r="D17" i="1"/>
  <c r="E17" i="1" s="1"/>
  <c r="E12" i="1"/>
  <c r="G12" i="1"/>
  <c r="E11" i="1"/>
  <c r="E9" i="1"/>
  <c r="G9" i="1" s="1"/>
  <c r="E8" i="1"/>
  <c r="G8" i="1"/>
  <c r="E7" i="1"/>
  <c r="G7" i="1" s="1"/>
  <c r="E6" i="1"/>
  <c r="G6" i="1" s="1"/>
  <c r="E4" i="1"/>
  <c r="J4" i="1"/>
  <c r="G11" i="1"/>
  <c r="I14" i="1"/>
  <c r="F7" i="1"/>
  <c r="L7" i="1"/>
  <c r="F8" i="1"/>
  <c r="F17" i="1" s="1"/>
  <c r="F11" i="1"/>
  <c r="L11" i="1" s="1"/>
  <c r="F9" i="1"/>
  <c r="L9" i="1"/>
  <c r="F12" i="1"/>
  <c r="L12" i="1"/>
  <c r="F14" i="1"/>
  <c r="G14" i="1" s="1"/>
  <c r="F6" i="1"/>
  <c r="H6" i="1" s="1"/>
  <c r="L111" i="2"/>
  <c r="L115" i="2"/>
  <c r="L105" i="2"/>
  <c r="L95" i="2"/>
  <c r="L63" i="2"/>
  <c r="L77" i="2"/>
  <c r="K84" i="2"/>
  <c r="L84" i="2" s="1"/>
  <c r="M29" i="2"/>
  <c r="L53" i="2"/>
  <c r="K24" i="2"/>
  <c r="L24" i="2"/>
  <c r="M135" i="2"/>
  <c r="M127" i="2"/>
  <c r="M125" i="2"/>
  <c r="M129" i="2"/>
  <c r="M103" i="2"/>
  <c r="L103" i="2"/>
  <c r="L107" i="2"/>
  <c r="M89" i="2"/>
  <c r="M79" i="2"/>
  <c r="L75" i="2"/>
  <c r="L79" i="2"/>
  <c r="L83" i="2"/>
  <c r="M65" i="2"/>
  <c r="L67" i="2"/>
  <c r="M55" i="2"/>
  <c r="M57" i="2"/>
  <c r="L51" i="2"/>
  <c r="L55" i="2"/>
  <c r="L59" i="2"/>
  <c r="M39" i="2"/>
  <c r="M43" i="2"/>
  <c r="L31" i="2"/>
  <c r="L35" i="2"/>
  <c r="M21" i="2"/>
  <c r="M19" i="2"/>
  <c r="L15" i="2"/>
  <c r="L19" i="2"/>
  <c r="L23" i="2"/>
  <c r="L3" i="2"/>
  <c r="I49" i="1"/>
  <c r="J49" i="1" s="1"/>
  <c r="I53" i="1"/>
  <c r="M53" i="1"/>
  <c r="G54" i="1"/>
  <c r="J54" i="1"/>
  <c r="L45" i="1"/>
  <c r="I48" i="1"/>
  <c r="J48" i="1" s="1"/>
  <c r="L6" i="1"/>
  <c r="M48" i="1"/>
  <c r="C9" i="2"/>
  <c r="M7" i="2"/>
  <c r="L32" i="1"/>
  <c r="L28" i="1"/>
  <c r="L30" i="1"/>
  <c r="L33" i="1"/>
  <c r="H33" i="1"/>
  <c r="I33" i="1" s="1"/>
  <c r="L26" i="1"/>
  <c r="H31" i="1"/>
  <c r="I31" i="1"/>
  <c r="M31" i="1" s="1"/>
  <c r="L25" i="1"/>
  <c r="M49" i="1"/>
  <c r="J53" i="1"/>
  <c r="H11" i="1"/>
  <c r="I11" i="1" s="1"/>
  <c r="H12" i="1"/>
  <c r="I12" i="1"/>
  <c r="M12" i="1" s="1"/>
  <c r="H9" i="1"/>
  <c r="I9" i="1" s="1"/>
  <c r="H7" i="1"/>
  <c r="I7" i="1"/>
  <c r="M7" i="1" s="1"/>
  <c r="J50" i="1"/>
  <c r="M50" i="1"/>
  <c r="M14" i="1"/>
  <c r="J14" i="1"/>
  <c r="M34" i="1"/>
  <c r="J34" i="1"/>
  <c r="I25" i="1"/>
  <c r="I27" i="1"/>
  <c r="L35" i="1"/>
  <c r="M35" i="1"/>
  <c r="L31" i="1"/>
  <c r="L47" i="1"/>
  <c r="G7" i="3"/>
  <c r="D7" i="3"/>
  <c r="F7" i="3"/>
  <c r="C22" i="3"/>
  <c r="C11" i="2"/>
  <c r="M9" i="2"/>
  <c r="J12" i="1"/>
  <c r="I52" i="1"/>
  <c r="J27" i="1"/>
  <c r="M27" i="1"/>
  <c r="J52" i="1"/>
  <c r="M52" i="1"/>
  <c r="J33" i="1" l="1"/>
  <c r="M33" i="1"/>
  <c r="I6" i="1"/>
  <c r="M29" i="1"/>
  <c r="J29" i="1"/>
  <c r="C35" i="2"/>
  <c r="M35" i="2" s="1"/>
  <c r="M33" i="2"/>
  <c r="C47" i="2"/>
  <c r="M45" i="2"/>
  <c r="L100" i="9"/>
  <c r="L90" i="9"/>
  <c r="J11" i="1"/>
  <c r="M11" i="1"/>
  <c r="M48" i="2"/>
  <c r="M67" i="2"/>
  <c r="C69" i="2"/>
  <c r="J10" i="1"/>
  <c r="M10" i="1"/>
  <c r="C119" i="2"/>
  <c r="M119" i="2" s="1"/>
  <c r="M117" i="2"/>
  <c r="M84" i="2"/>
  <c r="M108" i="2"/>
  <c r="M32" i="1"/>
  <c r="J32" i="1"/>
  <c r="M45" i="1"/>
  <c r="I57" i="1"/>
  <c r="J57" i="1" s="1"/>
  <c r="J45" i="1"/>
  <c r="G17" i="1"/>
  <c r="G37" i="1"/>
  <c r="I46" i="1"/>
  <c r="H57" i="1"/>
  <c r="J9" i="1"/>
  <c r="M9" i="1"/>
  <c r="L37" i="1"/>
  <c r="D39" i="1" s="1"/>
  <c r="F39" i="1" s="1"/>
  <c r="M28" i="1"/>
  <c r="J28" i="1"/>
  <c r="C95" i="2"/>
  <c r="M95" i="2" s="1"/>
  <c r="M93" i="2"/>
  <c r="M96" i="2" s="1"/>
  <c r="M81" i="2"/>
  <c r="K132" i="2"/>
  <c r="L132" i="2" s="1"/>
  <c r="M115" i="2"/>
  <c r="L51" i="1"/>
  <c r="M25" i="1"/>
  <c r="K12" i="2"/>
  <c r="L12" i="2" s="1"/>
  <c r="L29" i="1"/>
  <c r="L71" i="2"/>
  <c r="M141" i="2"/>
  <c r="K36" i="2"/>
  <c r="L36" i="2" s="1"/>
  <c r="L14" i="1"/>
  <c r="L8" i="1"/>
  <c r="L17" i="1" s="1"/>
  <c r="D19" i="1" s="1"/>
  <c r="F19" i="1" s="1"/>
  <c r="M15" i="1"/>
  <c r="H13" i="1"/>
  <c r="I13" i="1" s="1"/>
  <c r="M27" i="2"/>
  <c r="L101" i="2"/>
  <c r="M123" i="2"/>
  <c r="M132" i="2" s="1"/>
  <c r="E37" i="9"/>
  <c r="L12" i="9" s="1"/>
  <c r="L30" i="9" s="1"/>
  <c r="M14" i="8"/>
  <c r="M15" i="8"/>
  <c r="M44" i="8" s="1"/>
  <c r="C9" i="6"/>
  <c r="E8" i="6"/>
  <c r="G8" i="6" s="1"/>
  <c r="J25" i="1"/>
  <c r="J30" i="1"/>
  <c r="J51" i="1"/>
  <c r="K108" i="2"/>
  <c r="L108" i="2" s="1"/>
  <c r="H26" i="1"/>
  <c r="L48" i="1"/>
  <c r="L57" i="1" s="1"/>
  <c r="D59" i="1" s="1"/>
  <c r="F59" i="1" s="1"/>
  <c r="L52" i="1"/>
  <c r="L87" i="2"/>
  <c r="J46" i="8"/>
  <c r="J49" i="8" s="1"/>
  <c r="L99" i="2"/>
  <c r="E24" i="9"/>
  <c r="L24" i="9" s="1"/>
  <c r="E59" i="9"/>
  <c r="L59" i="9" s="1"/>
  <c r="J87" i="9"/>
  <c r="L77" i="9" s="1"/>
  <c r="I83" i="9"/>
  <c r="M47" i="2"/>
  <c r="H8" i="1"/>
  <c r="I8" i="1" s="1"/>
  <c r="E72" i="9"/>
  <c r="L47" i="9" s="1"/>
  <c r="D14" i="8"/>
  <c r="D15" i="8"/>
  <c r="D44" i="8" s="1"/>
  <c r="L134" i="9"/>
  <c r="J131" i="9"/>
  <c r="J133" i="9" s="1"/>
  <c r="L9" i="9"/>
  <c r="L11" i="9" s="1"/>
  <c r="L32" i="9"/>
  <c r="L33" i="9" s="1"/>
  <c r="J7" i="1"/>
  <c r="J31" i="1"/>
  <c r="F57" i="1"/>
  <c r="M113" i="2"/>
  <c r="M120" i="2" s="1"/>
  <c r="M139" i="2"/>
  <c r="K120" i="2"/>
  <c r="L120" i="2" s="1"/>
  <c r="K96" i="2"/>
  <c r="L96" i="2" s="1"/>
  <c r="G14" i="8"/>
  <c r="G15" i="8"/>
  <c r="G44" i="8" s="1"/>
  <c r="M25" i="8"/>
  <c r="M37" i="8" s="1"/>
  <c r="M24" i="8"/>
  <c r="M29" i="8" s="1"/>
  <c r="M31" i="8" s="1"/>
  <c r="M32" i="8" s="1"/>
  <c r="M22" i="8"/>
  <c r="M23" i="8" s="1"/>
  <c r="M43" i="8"/>
  <c r="L99" i="9"/>
  <c r="J96" i="9"/>
  <c r="J98" i="9" s="1"/>
  <c r="K144" i="2"/>
  <c r="L144" i="2" s="1"/>
  <c r="E142" i="9"/>
  <c r="L117" i="9" s="1"/>
  <c r="J14" i="8"/>
  <c r="J15" i="8"/>
  <c r="J44" i="8" s="1"/>
  <c r="J45" i="8" s="1"/>
  <c r="L137" i="9"/>
  <c r="L138" i="9" s="1"/>
  <c r="L114" i="9"/>
  <c r="L116" i="9" s="1"/>
  <c r="M137" i="2"/>
  <c r="G25" i="8"/>
  <c r="G37" i="8" s="1"/>
  <c r="G43" i="8" s="1"/>
  <c r="G45" i="8" s="1"/>
  <c r="J52" i="9"/>
  <c r="L42" i="9" s="1"/>
  <c r="D24" i="8"/>
  <c r="D29" i="8" s="1"/>
  <c r="D31" i="8" s="1"/>
  <c r="D32" i="8" s="1"/>
  <c r="L102" i="9" l="1"/>
  <c r="L103" i="9" s="1"/>
  <c r="L79" i="9"/>
  <c r="L81" i="9" s="1"/>
  <c r="L29" i="9"/>
  <c r="J26" i="9"/>
  <c r="J28" i="9" s="1"/>
  <c r="H37" i="1"/>
  <c r="I26" i="1"/>
  <c r="M46" i="8"/>
  <c r="M49" i="8" s="1"/>
  <c r="M45" i="8"/>
  <c r="L92" i="9"/>
  <c r="H17" i="1"/>
  <c r="M6" i="1"/>
  <c r="I17" i="1"/>
  <c r="J17" i="1" s="1"/>
  <c r="J6" i="1"/>
  <c r="L64" i="9"/>
  <c r="J61" i="9"/>
  <c r="J63" i="9" s="1"/>
  <c r="L125" i="9"/>
  <c r="L135" i="9"/>
  <c r="G46" i="8"/>
  <c r="G49" i="8" s="1"/>
  <c r="M144" i="2"/>
  <c r="M8" i="1"/>
  <c r="J8" i="1"/>
  <c r="L67" i="9"/>
  <c r="L68" i="9" s="1"/>
  <c r="L44" i="9"/>
  <c r="L46" i="9" s="1"/>
  <c r="L118" i="9"/>
  <c r="L121" i="9"/>
  <c r="L123" i="9" s="1"/>
  <c r="L20" i="9"/>
  <c r="M36" i="2"/>
  <c r="C71" i="2"/>
  <c r="M71" i="2" s="1"/>
  <c r="M69" i="2"/>
  <c r="M72" i="2" s="1"/>
  <c r="E9" i="6"/>
  <c r="G9" i="6" s="1"/>
  <c r="C10" i="6"/>
  <c r="D46" i="8"/>
  <c r="D49" i="8" s="1"/>
  <c r="D45" i="8"/>
  <c r="L65" i="9"/>
  <c r="L55" i="9"/>
  <c r="L13" i="9"/>
  <c r="L16" i="9"/>
  <c r="L18" i="9" s="1"/>
  <c r="J13" i="1"/>
  <c r="M13" i="1"/>
  <c r="J46" i="1"/>
  <c r="M46" i="1"/>
  <c r="M57" i="1" s="1"/>
  <c r="L57" i="9" l="1"/>
  <c r="M17" i="1"/>
  <c r="L127" i="9"/>
  <c r="L128" i="9"/>
  <c r="L139" i="9" s="1"/>
  <c r="L141" i="9" s="1"/>
  <c r="H142" i="9" s="1"/>
  <c r="L142" i="9" s="1"/>
  <c r="L83" i="9"/>
  <c r="L86" i="9"/>
  <c r="J26" i="1"/>
  <c r="M26" i="1"/>
  <c r="M37" i="1" s="1"/>
  <c r="I37" i="1"/>
  <c r="J37" i="1" s="1"/>
  <c r="L22" i="9"/>
  <c r="L23" i="9"/>
  <c r="L34" i="9" s="1"/>
  <c r="L36" i="9" s="1"/>
  <c r="H37" i="9" s="1"/>
  <c r="L37" i="9" s="1"/>
  <c r="E10" i="6"/>
  <c r="G10" i="6" s="1"/>
  <c r="C11" i="6"/>
  <c r="L48" i="9"/>
  <c r="L51" i="9"/>
  <c r="L53" i="9" s="1"/>
  <c r="L88" i="9" l="1"/>
  <c r="L93" i="9"/>
  <c r="L104" i="9" s="1"/>
  <c r="L106" i="9" s="1"/>
  <c r="H107" i="9" s="1"/>
  <c r="L107" i="9" s="1"/>
  <c r="L58" i="9"/>
  <c r="L69" i="9" s="1"/>
  <c r="L71" i="9" s="1"/>
  <c r="H72" i="9" s="1"/>
  <c r="L72" i="9" s="1"/>
  <c r="C12" i="6"/>
  <c r="E11" i="6"/>
  <c r="G11" i="6" s="1"/>
  <c r="C13" i="6" l="1"/>
  <c r="E12" i="6"/>
  <c r="G12" i="6" s="1"/>
  <c r="C14" i="6" l="1"/>
  <c r="E13" i="6"/>
  <c r="G13" i="6" s="1"/>
  <c r="E14" i="6" l="1"/>
  <c r="G14" i="6" s="1"/>
  <c r="C15" i="6"/>
  <c r="C16" i="6" l="1"/>
  <c r="E15" i="6"/>
  <c r="G15" i="6" s="1"/>
  <c r="C17" i="6" l="1"/>
  <c r="E16" i="6"/>
  <c r="G16" i="6" s="1"/>
  <c r="C18" i="6" l="1"/>
  <c r="E17" i="6"/>
  <c r="G17" i="6" s="1"/>
  <c r="C19" i="6" l="1"/>
  <c r="E18" i="6"/>
  <c r="G18" i="6" s="1"/>
  <c r="E19" i="6" l="1"/>
  <c r="G19" i="6" s="1"/>
  <c r="C20" i="6"/>
  <c r="C21" i="6" l="1"/>
  <c r="E20" i="6"/>
  <c r="G20" i="6" s="1"/>
  <c r="C22" i="6" l="1"/>
  <c r="E21" i="6"/>
  <c r="G21" i="6" s="1"/>
  <c r="E22" i="6" l="1"/>
  <c r="G22" i="6" s="1"/>
  <c r="C23" i="6"/>
  <c r="E23" i="6" l="1"/>
  <c r="G23" i="6" s="1"/>
  <c r="C24" i="6"/>
  <c r="E24" i="6" s="1"/>
  <c r="G24" i="6" s="1"/>
</calcChain>
</file>

<file path=xl/comments1.xml><?xml version="1.0" encoding="utf-8"?>
<comments xmlns="http://schemas.openxmlformats.org/spreadsheetml/2006/main">
  <authors>
    <author>TK</author>
  </authors>
  <commentList>
    <comment ref="A1" authorId="0" shapeId="0">
      <text>
        <r>
          <rPr>
            <b/>
            <sz val="9"/>
            <color indexed="81"/>
            <rFont val="Tahoma"/>
            <family val="2"/>
          </rPr>
          <t>This spreadsheet is designed to help you schedule chick shipments, housing placement and slaughter dates. There are three user defined time frames.
1. Interval between batches (in days)
2. Number of days you plan on each brood spending in the brooder
3. Number of days you plan on the brood spending on pasture. You can adjust this number to suit your product (ie game hen /~28 days, broiler 54 days, roaster +54 
days)</t>
        </r>
        <r>
          <rPr>
            <sz val="9"/>
            <color indexed="81"/>
            <rFont val="Tahoma"/>
            <family val="2"/>
          </rPr>
          <t xml:space="preserve">
</t>
        </r>
      </text>
    </comment>
    <comment ref="B4" authorId="0" shapeId="0">
      <text>
        <r>
          <rPr>
            <b/>
            <sz val="9"/>
            <color indexed="81"/>
            <rFont val="Tahoma"/>
            <family val="2"/>
          </rPr>
          <t>Enter the number of days between batches here. Each can be different which is useful if you plan a mid season break.</t>
        </r>
        <r>
          <rPr>
            <sz val="9"/>
            <color indexed="81"/>
            <rFont val="Tahoma"/>
            <family val="2"/>
          </rPr>
          <t xml:space="preserve">
</t>
        </r>
      </text>
    </comment>
    <comment ref="D4" authorId="0" shapeId="0">
      <text>
        <r>
          <rPr>
            <b/>
            <sz val="9"/>
            <color indexed="81"/>
            <rFont val="Tahoma"/>
            <family val="2"/>
          </rPr>
          <t>Enter the number of days you plan on keeping the chicks in the brooder. Each can be different which is helpful for eaqrly season starts when you may want to use a longer brooder period.</t>
        </r>
      </text>
    </comment>
    <comment ref="F4" authorId="0" shapeId="0">
      <text>
        <r>
          <rPr>
            <b/>
            <sz val="9"/>
            <color indexed="81"/>
            <rFont val="Tahoma"/>
            <family val="2"/>
          </rPr>
          <t>Enter the number of days on pasture to complete the growout process</t>
        </r>
        <r>
          <rPr>
            <sz val="9"/>
            <color indexed="81"/>
            <rFont val="Tahoma"/>
            <family val="2"/>
          </rPr>
          <t xml:space="preserve">
</t>
        </r>
      </text>
    </comment>
  </commentList>
</comments>
</file>

<file path=xl/comments2.xml><?xml version="1.0" encoding="utf-8"?>
<comments xmlns="http://schemas.openxmlformats.org/spreadsheetml/2006/main">
  <authors>
    <author>TK</author>
  </authors>
  <commentList>
    <comment ref="C3" authorId="0" shapeId="0">
      <text>
        <r>
          <rPr>
            <b/>
            <sz val="9"/>
            <color indexed="81"/>
            <rFont val="Tahoma"/>
            <charset val="1"/>
          </rPr>
          <t>Enter the temp you wish to start the birds at. For most chicks 95 degf is recommended.</t>
        </r>
      </text>
    </comment>
    <comment ref="C6" authorId="0" shapeId="0">
      <text>
        <r>
          <rPr>
            <b/>
            <sz val="9"/>
            <color indexed="81"/>
            <rFont val="Tahoma"/>
            <charset val="1"/>
          </rPr>
          <t xml:space="preserve">Enter the date you will first place chicks in the brooder. Use this format: mm/dd/year
</t>
        </r>
      </text>
    </comment>
    <comment ref="C7" authorId="0" shapeId="0">
      <text>
        <r>
          <rPr>
            <b/>
            <sz val="9"/>
            <color indexed="81"/>
            <rFont val="Tahoma"/>
            <charset val="1"/>
          </rPr>
          <t>Enter the number of days you plan on leaving the chicks in the brooder</t>
        </r>
      </text>
    </comment>
    <comment ref="C8" authorId="0" shapeId="0">
      <text>
        <r>
          <rPr>
            <b/>
            <sz val="9"/>
            <color indexed="81"/>
            <rFont val="Tahoma"/>
            <charset val="1"/>
          </rPr>
          <t>Enter the final transition temp here, that is the temp you expect the birds to encounter in the field.</t>
        </r>
      </text>
    </comment>
  </commentList>
</comments>
</file>

<file path=xl/sharedStrings.xml><?xml version="1.0" encoding="utf-8"?>
<sst xmlns="http://schemas.openxmlformats.org/spreadsheetml/2006/main" count="946" uniqueCount="337">
  <si>
    <t>Organic Corn</t>
  </si>
  <si>
    <t>Organic Roasted Soybeans</t>
  </si>
  <si>
    <t>Organic Oats</t>
  </si>
  <si>
    <t>Fertrell Poultry Nutribalancer</t>
  </si>
  <si>
    <t>Crab Meal</t>
  </si>
  <si>
    <t>Aragonite</t>
  </si>
  <si>
    <t xml:space="preserve">% of </t>
  </si>
  <si>
    <t>new sample weight / lbs</t>
  </si>
  <si>
    <t>control sample      wt / lbs</t>
  </si>
  <si>
    <t>$ / TON</t>
  </si>
  <si>
    <t>$ / LB</t>
  </si>
  <si>
    <t>Organic Layer Feed - 17%p</t>
  </si>
  <si>
    <t>$/LB</t>
  </si>
  <si>
    <t>Organic Broiler Feed - 18%p</t>
  </si>
  <si>
    <t>Total</t>
  </si>
  <si>
    <t>new sample weight / kg</t>
  </si>
  <si>
    <t>control sample      wt / kg</t>
  </si>
  <si>
    <t>Kelp - added on farm (%)</t>
  </si>
  <si>
    <t>Recalculated sample w/ kelp (kg)</t>
  </si>
  <si>
    <t>Recalculated sample w/ kelp (lb)</t>
  </si>
  <si>
    <t>ton</t>
  </si>
  <si>
    <t xml:space="preserve"> Finished mixed ration  - price per </t>
  </si>
  <si>
    <t>lb/kg conv factor=</t>
  </si>
  <si>
    <t>Component cost / control</t>
  </si>
  <si>
    <t>Component cost / new sample</t>
  </si>
  <si>
    <t>Fishmeal</t>
  </si>
  <si>
    <t>Diatomaceous Earth</t>
  </si>
  <si>
    <t>Grinding/mixing/transport/pkg</t>
  </si>
  <si>
    <t>Shrimp Meal</t>
  </si>
  <si>
    <t>POULTRY RATIONS - 2011/2012</t>
  </si>
  <si>
    <t>August</t>
  </si>
  <si>
    <t># hens:</t>
  </si>
  <si>
    <t>total</t>
  </si>
  <si>
    <t>dozen</t>
  </si>
  <si>
    <t>lay rate</t>
  </si>
  <si>
    <t>January</t>
  </si>
  <si>
    <t>February</t>
  </si>
  <si>
    <t>March</t>
  </si>
  <si>
    <t>April</t>
  </si>
  <si>
    <t>May</t>
  </si>
  <si>
    <t>June</t>
  </si>
  <si>
    <t>July</t>
  </si>
  <si>
    <t>September</t>
  </si>
  <si>
    <t>October</t>
  </si>
  <si>
    <t>November</t>
  </si>
  <si>
    <t>December</t>
  </si>
  <si>
    <t>ENTER Base price for 1 doz / lg eggs here =&gt;</t>
  </si>
  <si>
    <t>Size Equivalents  (large size as basis)</t>
  </si>
  <si>
    <t>Jumbo</t>
  </si>
  <si>
    <t>X-Large</t>
  </si>
  <si>
    <t>Large</t>
  </si>
  <si>
    <t>Medium</t>
  </si>
  <si>
    <t>Small</t>
  </si>
  <si>
    <t>Peewee</t>
  </si>
  <si>
    <t>lb/doz (USDA)</t>
  </si>
  <si>
    <t>oz/doz (USDA)</t>
  </si>
  <si>
    <t>calculated shown on this line</t>
  </si>
  <si>
    <t>$ equiv</t>
  </si>
  <si>
    <t>enter your price on this line</t>
  </si>
  <si>
    <t>Egg size quivilents</t>
  </si>
  <si>
    <t>ie: 5 xl = 8 small</t>
  </si>
  <si>
    <t xml:space="preserve">Welcome to the </t>
  </si>
  <si>
    <t>Feed Calculator</t>
  </si>
  <si>
    <t>A project of Windy Ridge Natural Farms and College Suppliers</t>
  </si>
  <si>
    <t>Egg Collection Report</t>
  </si>
  <si>
    <t>Egg Calculator</t>
  </si>
  <si>
    <t>Pullet grow-out weights</t>
  </si>
  <si>
    <t>Egg Production Calculator</t>
  </si>
  <si>
    <t>www.organicpasturedpoultry.com</t>
  </si>
  <si>
    <t>PULLET GROWOUT PERODIC BODY WEIGHTS AND FEED &amp; WATER CONSUMPTION</t>
  </si>
  <si>
    <t>Age in Weeks</t>
  </si>
  <si>
    <t>Body Weights</t>
  </si>
  <si>
    <t>Feed Consumption</t>
  </si>
  <si>
    <t>Water Consumption</t>
  </si>
  <si>
    <t>lbs</t>
  </si>
  <si>
    <t>grams</t>
  </si>
  <si>
    <t>lbs./100</t>
  </si>
  <si>
    <t>lbs/bird</t>
  </si>
  <si>
    <t>Grams</t>
  </si>
  <si>
    <t>Gallons 100 birds</t>
  </si>
  <si>
    <t>Liters   100 birds</t>
  </si>
  <si>
    <t>Daily</t>
  </si>
  <si>
    <t>Cum</t>
  </si>
  <si>
    <t>Daily/ bird</t>
  </si>
  <si>
    <t>Cum/ bird</t>
  </si>
  <si>
    <t>Batch #</t>
  </si>
  <si>
    <t>Interval (between batches)</t>
  </si>
  <si>
    <t>Chicks arrive</t>
  </si>
  <si>
    <t>Days in brooder</t>
  </si>
  <si>
    <t>Move to pasture</t>
  </si>
  <si>
    <t>Days on pasture</t>
  </si>
  <si>
    <t>slaughter date</t>
  </si>
  <si>
    <t>age at slaughter (days)</t>
  </si>
  <si>
    <t xml:space="preserve"> </t>
  </si>
  <si>
    <t>Chick / Housing / Slaughter Scheduler</t>
  </si>
  <si>
    <t>Price List</t>
  </si>
  <si>
    <t>oz</t>
  </si>
  <si>
    <t>Brood #</t>
  </si>
  <si>
    <t>-growout</t>
  </si>
  <si>
    <t>-laying</t>
  </si>
  <si>
    <t>-molt</t>
  </si>
  <si>
    <t>-spent</t>
  </si>
  <si>
    <t>Molt Schedule</t>
  </si>
  <si>
    <t>Version 2.01</t>
  </si>
  <si>
    <t xml:space="preserve">For updates in this tool, go to: www.windyridgepoultry.com/5p.htm </t>
  </si>
  <si>
    <t>age at slaughter  (weeks/days)</t>
  </si>
  <si>
    <t>Organic Chick Starter - 22%p</t>
  </si>
  <si>
    <t>Chicken - Retail Price List</t>
  </si>
  <si>
    <t>Egg production profitability calculator</t>
  </si>
  <si>
    <t>www.windyridgepoultry.com</t>
  </si>
  <si>
    <t>Use &lt;arrows&gt;, &lt;tab&gt;, &lt;enter&gt;, to move from field to field</t>
  </si>
  <si>
    <t>Scenario #1</t>
  </si>
  <si>
    <t>Scenario #2</t>
  </si>
  <si>
    <t>Scenario #3</t>
  </si>
  <si>
    <t>Scenario #4</t>
  </si>
  <si>
    <t>total number of hens you want to raise-&gt;</t>
  </si>
  <si>
    <t>birds</t>
  </si>
  <si>
    <t>Total Pullet cost</t>
  </si>
  <si>
    <t>total feed to raise a pullet to laying age-&gt;</t>
  </si>
  <si>
    <t>feed total/lbs</t>
  </si>
  <si>
    <t>cost of grower ration per pound-&gt;</t>
  </si>
  <si>
    <t xml:space="preserve">feed-$/lb </t>
  </si>
  <si>
    <t>Total feed $</t>
  </si>
  <si>
    <t>cost of individual chick with shipping-&gt;</t>
  </si>
  <si>
    <t>chick $</t>
  </si>
  <si>
    <t>Cost ea</t>
  </si>
  <si>
    <t>Chick Mortality-&gt;</t>
  </si>
  <si>
    <t>Mortality %</t>
  </si>
  <si>
    <t>(True cost of mortality depends on age at loss)</t>
  </si>
  <si>
    <t>Mortality loss $</t>
  </si>
  <si>
    <t>total cost to raise a pullet to laying age</t>
  </si>
  <si>
    <t>Flock Cost</t>
  </si>
  <si>
    <t>cost of layer ration per pound-&gt;</t>
  </si>
  <si>
    <t>feed consumption per hen per month-&gt;</t>
  </si>
  <si>
    <t>lb/month/bird</t>
  </si>
  <si>
    <t>lb/month</t>
  </si>
  <si>
    <t>feed month/$</t>
  </si>
  <si>
    <t>lay rate (factor in loss here)-&gt;</t>
  </si>
  <si>
    <t>eggs / day</t>
  </si>
  <si>
    <t>doz</t>
  </si>
  <si>
    <t>eggs / wk</t>
  </si>
  <si>
    <t>eggs/month</t>
  </si>
  <si>
    <t>eggs/year</t>
  </si>
  <si>
    <t>selling price per dozen of eggs-&gt;</t>
  </si>
  <si>
    <t>retail $/doz</t>
  </si>
  <si>
    <t>wholesale discount  (if any) -&gt;</t>
  </si>
  <si>
    <t>resale disc</t>
  </si>
  <si>
    <t>net/doz</t>
  </si>
  <si>
    <t>ttl $ month</t>
  </si>
  <si>
    <t>net / month</t>
  </si>
  <si>
    <t>net / year</t>
  </si>
  <si>
    <t>Number of hours/week-&gt;</t>
  </si>
  <si>
    <t>Labor-hrs/wk</t>
  </si>
  <si>
    <t>Total cost/hr of labor (inc benefits,taxes,etc)-&gt;</t>
  </si>
  <si>
    <t>Labor-$/hr</t>
  </si>
  <si>
    <t>Ttl labor/yr</t>
  </si>
  <si>
    <t>Cost to package 1 doz eggs</t>
  </si>
  <si>
    <t>Cartons/each</t>
  </si>
  <si>
    <t>Total pkg expense</t>
  </si>
  <si>
    <t>Additional costs for your operation-&gt;</t>
  </si>
  <si>
    <t>Capital exp/yr</t>
  </si>
  <si>
    <t>Electric</t>
  </si>
  <si>
    <t>Bedding</t>
  </si>
  <si>
    <t>Cartons</t>
  </si>
  <si>
    <t>Feed extras</t>
  </si>
  <si>
    <t>Machines</t>
  </si>
  <si>
    <t>Overhead</t>
  </si>
  <si>
    <t>Pullet cost</t>
  </si>
  <si>
    <t>(includes pullet costs)</t>
  </si>
  <si>
    <t>Net profit 1st year</t>
  </si>
  <si>
    <t>(does not include any pullet costs)</t>
  </si>
  <si>
    <t>Net profit 2nd year</t>
  </si>
  <si>
    <t>Sales of spent hens at end of 3rd year</t>
  </si>
  <si>
    <t>Sale price each</t>
  </si>
  <si>
    <t>Revenue of spent Hens  (at 0% loss)</t>
  </si>
  <si>
    <t>Total of spent hens $</t>
  </si>
  <si>
    <t>(includes spent hen revenue)</t>
  </si>
  <si>
    <t>Net profit 3rd year</t>
  </si>
  <si>
    <t>© Copyright 2009 College Suppliers of Alfred - free to use in non-commercial use</t>
  </si>
  <si>
    <t>Windy Ridge Natural Farms</t>
  </si>
  <si>
    <t>Broiler production profitability calculator</t>
  </si>
  <si>
    <t>Note:</t>
  </si>
  <si>
    <t>Labor module</t>
  </si>
  <si>
    <t>hrs/day</t>
  </si>
  <si>
    <t># days</t>
  </si>
  <si>
    <t>rate</t>
  </si>
  <si>
    <t>Feed Conversion module</t>
  </si>
  <si>
    <t>Brooder setup</t>
  </si>
  <si>
    <t>Feed total/lbs</t>
  </si>
  <si>
    <t>Daily brooder duties</t>
  </si>
  <si>
    <t>Typical performance - Cornish X</t>
  </si>
  <si>
    <t>Retail/lb</t>
  </si>
  <si>
    <t xml:space="preserve">Feed-$/lb </t>
  </si>
  <si>
    <t>Brooder/field move</t>
  </si>
  <si>
    <t>age / days</t>
  </si>
  <si>
    <t>feed cons</t>
  </si>
  <si>
    <t>dr weight</t>
  </si>
  <si>
    <t>feed /batch</t>
  </si>
  <si>
    <t>Daily field duties</t>
  </si>
  <si>
    <t>Chick $</t>
  </si>
  <si>
    <t>Slaughter / loading</t>
  </si>
  <si>
    <t>Cost of each broiler</t>
  </si>
  <si>
    <t>Slaughter xport</t>
  </si>
  <si>
    <t>Total Mortality Factor</t>
  </si>
  <si>
    <t>Processed bird  / loading</t>
  </si>
  <si>
    <t>Processed bird xport</t>
  </si>
  <si>
    <t>processing cost ea</t>
  </si>
  <si>
    <t>Processed bird xport labor</t>
  </si>
  <si>
    <t>Total processing</t>
  </si>
  <si>
    <t>Bag shrinking labor</t>
  </si>
  <si>
    <t>Feed conv ratio:</t>
  </si>
  <si>
    <t>:1</t>
  </si>
  <si>
    <t>Batch cost</t>
  </si>
  <si>
    <t>Pen cleanup labor</t>
  </si>
  <si>
    <t>TTL FEED / BIRD</t>
  </si>
  <si>
    <t>Avg dressed wt/bird lbs</t>
  </si>
  <si>
    <t>Pen Repair labor</t>
  </si>
  <si>
    <t>Age at slaughter</t>
  </si>
  <si>
    <t>gross cost/lb meat</t>
  </si>
  <si>
    <t>Pen Repair parts/materials</t>
  </si>
  <si>
    <t>Sale $/lb</t>
  </si>
  <si>
    <t>Slaughter xport mileage</t>
  </si>
  <si>
    <t>Days in field</t>
  </si>
  <si>
    <t>Batch gross</t>
  </si>
  <si>
    <t>Processed bird xport mileage</t>
  </si>
  <si>
    <t>Wholesale disc%</t>
  </si>
  <si>
    <t>Shrink bags</t>
  </si>
  <si>
    <t>Wholesale disc$</t>
  </si>
  <si>
    <t>Batch net</t>
  </si>
  <si>
    <t>labor rate:</t>
  </si>
  <si>
    <t>/hr</t>
  </si>
  <si>
    <t>Labor cost/batch</t>
  </si>
  <si>
    <t>Mortality module</t>
  </si>
  <si>
    <t>week life span</t>
  </si>
  <si>
    <t>Other Farm operation costs allocated to poultry production</t>
  </si>
  <si>
    <t>Capital exp/alloc</t>
  </si>
  <si>
    <t>age of death</t>
  </si>
  <si>
    <t>deaths</t>
  </si>
  <si>
    <t>multiplier</t>
  </si>
  <si>
    <t>factor</t>
  </si>
  <si>
    <t>Annual</t>
  </si>
  <si>
    <t>Expenses</t>
  </si>
  <si>
    <t>Total annual labor</t>
  </si>
  <si>
    <t>bedding</t>
  </si>
  <si>
    <t>week</t>
  </si>
  <si>
    <t>Farm insurance</t>
  </si>
  <si>
    <t>Paid labor</t>
  </si>
  <si>
    <t>other</t>
  </si>
  <si>
    <t>weeks</t>
  </si>
  <si>
    <t>Taxes</t>
  </si>
  <si>
    <t>Self labor</t>
  </si>
  <si>
    <t>Rent / lease</t>
  </si>
  <si>
    <t>Total overhead</t>
  </si>
  <si>
    <t>Machinery / Repairs</t>
  </si>
  <si>
    <t>Total lbs produced / yr</t>
  </si>
  <si>
    <t>Machinery / Dep</t>
  </si>
  <si>
    <t>Total # birds produced/yr</t>
  </si>
  <si>
    <t>Buildings/ Dep</t>
  </si>
  <si>
    <t>Total lbs feed used / yr</t>
  </si>
  <si>
    <t>Heat</t>
  </si>
  <si>
    <t>Total feed cost / yr</t>
  </si>
  <si>
    <t xml:space="preserve">Batch Net profit </t>
  </si>
  <si>
    <t>Diesel fuel</t>
  </si>
  <si>
    <t>Product sales</t>
  </si>
  <si>
    <t>Batches/yr</t>
  </si>
  <si>
    <t>Mowing labor</t>
  </si>
  <si>
    <t>net profit</t>
  </si>
  <si>
    <t>Annual Net Profit / broilers</t>
  </si>
  <si>
    <t>Total deaths before slaughter</t>
  </si>
  <si>
    <t>total factor</t>
  </si>
  <si>
    <t>Farm net profit / loss</t>
  </si>
  <si>
    <t>Brooder environment</t>
  </si>
  <si>
    <t>deg</t>
  </si>
  <si>
    <t>day #</t>
  </si>
  <si>
    <t>POB 1162</t>
  </si>
  <si>
    <t>Alfred, NY 14802</t>
  </si>
  <si>
    <t>(607) 587-9684</t>
  </si>
  <si>
    <t>Poultry Retail Price List</t>
  </si>
  <si>
    <t>wholesale discounts</t>
  </si>
  <si>
    <t>product</t>
  </si>
  <si>
    <t>desc</t>
  </si>
  <si>
    <t>size</t>
  </si>
  <si>
    <t>price</t>
  </si>
  <si>
    <t>availability</t>
  </si>
  <si>
    <t>wholesale disc #1</t>
  </si>
  <si>
    <t>Price at level 1 discount</t>
  </si>
  <si>
    <t>Min Qty level 1 discount</t>
  </si>
  <si>
    <t>wholesale disc #2</t>
  </si>
  <si>
    <t>Price at level 2 discount</t>
  </si>
  <si>
    <t>Min Qty level 2 discount</t>
  </si>
  <si>
    <t>wholesale disc #3</t>
  </si>
  <si>
    <t>Price at level 3 discount</t>
  </si>
  <si>
    <t>Min Qty level 3 discount</t>
  </si>
  <si>
    <t>Eggs</t>
  </si>
  <si>
    <t>Certified organic / AWA</t>
  </si>
  <si>
    <t>small</t>
  </si>
  <si>
    <t>n/a</t>
  </si>
  <si>
    <t>med</t>
  </si>
  <si>
    <t>lg</t>
  </si>
  <si>
    <t>xl</t>
  </si>
  <si>
    <t>good</t>
  </si>
  <si>
    <t>jumbo</t>
  </si>
  <si>
    <t>Chicken</t>
  </si>
  <si>
    <t>lb.**</t>
  </si>
  <si>
    <t>Very good</t>
  </si>
  <si>
    <t>Organic Cornish Game Hens*</t>
  </si>
  <si>
    <t>The package label will read "From certifed organic chicken, meat not certified. This is determined by our certifier.</t>
  </si>
  <si>
    <t>Organically raised chicken*</t>
  </si>
  <si>
    <t>limited</t>
  </si>
  <si>
    <t>Brooder Temps</t>
  </si>
  <si>
    <t>Broiler Production Calculator</t>
  </si>
  <si>
    <t>INFO</t>
  </si>
  <si>
    <t>Pasture Poultry Producers Production Package</t>
  </si>
  <si>
    <t>© Copyright 2012 College Suppliers of Alfred - free to use in non-commercial use</t>
  </si>
  <si>
    <t>607.587.9684</t>
  </si>
  <si>
    <t>607.587.9683 fax</t>
  </si>
  <si>
    <t>we accept check, credit card, and paypal</t>
  </si>
  <si>
    <t>Please make checks payable to College Suppliers  POB 1162 Alfred, NY 14802</t>
  </si>
  <si>
    <t>Please note that while we do our best to test all functions in these spreadsheets, we do not guarantee accuracy and do not accept liability for their reliability.</t>
  </si>
  <si>
    <t>fair</t>
  </si>
  <si>
    <t>none</t>
  </si>
  <si>
    <t>*Our live chickens are certified organic. As of 1/1/2012 our processor has yet to become certified.</t>
  </si>
  <si>
    <t>We hope that our processor will complete their certification process in 2012.</t>
  </si>
  <si>
    <t>** $4.50/lb on preorders (90 days prior to production), $5.25/lb from stock.</t>
  </si>
  <si>
    <t>date</t>
  </si>
  <si>
    <t>set brooder thermostat to:</t>
  </si>
  <si>
    <t>Starting temp:</t>
  </si>
  <si>
    <t>Weekly drop:</t>
  </si>
  <si>
    <t>Daily drop:</t>
  </si>
  <si>
    <t>Start Date:</t>
  </si>
  <si>
    <t>Days in brooder:</t>
  </si>
  <si>
    <t>Anticipated pasture temp:</t>
  </si>
  <si>
    <t>Housing &amp; pasture scheduler</t>
  </si>
  <si>
    <t>A great deal of time and effort goes into the prodution of this package. This software is free to use for 14 days. After that we ask that you either register it or discontinue its use.</t>
  </si>
  <si>
    <t>Cost is $25 but we leave registration and payment to the honor system. If you can't afford $25 then send what you can afford. Registration will entitle you to future updates. Thanks for your support.</t>
  </si>
  <si>
    <r>
      <rPr>
        <sz val="10"/>
        <rFont val="Calibri"/>
        <family val="2"/>
      </rPr>
      <t>©</t>
    </r>
    <r>
      <rPr>
        <sz val="10"/>
        <rFont val="Arial"/>
        <family val="2"/>
      </rPr>
      <t xml:space="preserve"> College Suppliers Inc. 2012. All rights reserved. You may not sell or share this in part or in whole.</t>
    </r>
  </si>
  <si>
    <t>orders@collegesuppliers.com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</si>
</sst>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quot;$&quot;#,##0.00_);[Red]\(&quot;$&quot;#,##0.00\)"/>
    <numFmt numFmtId="44" formatCode="_(&quot;$&quot;* #,##0.00_);_(&quot;$&quot;* \(#,##0.00\);_(&quot;$&quot;* &quot;-&quot;??_);_(@_)"/>
    <numFmt numFmtId="164" formatCode="0.000"/>
    <numFmt numFmtId="165" formatCode="_(&quot;$&quot;* #,##0.000_);_(&quot;$&quot;* \(#,##0.000\);_(&quot;$&quot;* &quot;-&quot;??_);_(@_)"/>
    <numFmt numFmtId="166" formatCode="0.0"/>
  </numFmts>
  <fonts count="30" x14ac:knownFonts="1">
    <font>
      <sz val="10"/>
      <name val="Arial"/>
    </font>
    <font>
      <sz val="10"/>
      <name val="Arial"/>
    </font>
    <font>
      <sz val="8"/>
      <name val="Arial"/>
      <family val="2"/>
    </font>
    <font>
      <sz val="8"/>
      <name val="Arial Narrow"/>
      <family val="2"/>
    </font>
    <font>
      <b/>
      <sz val="10"/>
      <name val="Arial"/>
      <family val="2"/>
    </font>
    <font>
      <b/>
      <sz val="16"/>
      <name val="Arial"/>
      <family val="2"/>
    </font>
    <font>
      <sz val="10"/>
      <name val="Arial"/>
      <family val="2"/>
    </font>
    <font>
      <sz val="10"/>
      <name val="Arial"/>
      <family val="2"/>
    </font>
    <font>
      <b/>
      <sz val="12"/>
      <name val="Arial"/>
      <family val="2"/>
    </font>
    <font>
      <b/>
      <sz val="10"/>
      <name val="Arial Narrow"/>
      <family val="2"/>
    </font>
    <font>
      <i/>
      <sz val="8"/>
      <name val="Verdana"/>
      <family val="2"/>
    </font>
    <font>
      <b/>
      <sz val="8"/>
      <color indexed="63"/>
      <name val="Verdana"/>
      <family val="2"/>
    </font>
    <font>
      <i/>
      <sz val="8"/>
      <color indexed="63"/>
      <name val="Verdana"/>
      <family val="2"/>
    </font>
    <font>
      <b/>
      <i/>
      <sz val="8"/>
      <color indexed="63"/>
      <name val="Verdana"/>
      <family val="2"/>
    </font>
    <font>
      <sz val="8"/>
      <color indexed="63"/>
      <name val="Verdana"/>
      <family val="2"/>
    </font>
    <font>
      <sz val="8"/>
      <name val="Verdana"/>
      <family val="2"/>
    </font>
    <font>
      <b/>
      <sz val="28"/>
      <name val="Arial"/>
      <family val="2"/>
    </font>
    <font>
      <sz val="10"/>
      <name val="Calibri"/>
      <family val="2"/>
    </font>
    <font>
      <b/>
      <sz val="11"/>
      <name val="Arial"/>
      <family val="2"/>
    </font>
    <font>
      <sz val="9"/>
      <color indexed="81"/>
      <name val="Tahoma"/>
      <family val="2"/>
    </font>
    <font>
      <b/>
      <sz val="9"/>
      <color indexed="81"/>
      <name val="Tahoma"/>
      <family val="2"/>
    </font>
    <font>
      <sz val="10"/>
      <name val="Arial Narrow"/>
      <family val="2"/>
    </font>
    <font>
      <b/>
      <sz val="8"/>
      <name val="Arial"/>
      <family val="2"/>
    </font>
    <font>
      <b/>
      <sz val="10"/>
      <color indexed="9"/>
      <name val="Arial"/>
      <family val="2"/>
    </font>
    <font>
      <sz val="10"/>
      <color indexed="8"/>
      <name val="Arial"/>
      <family val="2"/>
    </font>
    <font>
      <b/>
      <sz val="18"/>
      <name val="Arial"/>
      <family val="2"/>
    </font>
    <font>
      <sz val="12"/>
      <name val="Arial"/>
      <family val="2"/>
    </font>
    <font>
      <b/>
      <sz val="10"/>
      <color indexed="10"/>
      <name val="Arial Black"/>
      <family val="2"/>
    </font>
    <font>
      <b/>
      <sz val="9"/>
      <color indexed="81"/>
      <name val="Tahoma"/>
      <charset val="1"/>
    </font>
    <font>
      <u/>
      <sz val="10"/>
      <color theme="10"/>
      <name val="Arial"/>
      <family val="2"/>
    </font>
  </fonts>
  <fills count="9">
    <fill>
      <patternFill patternType="none"/>
    </fill>
    <fill>
      <patternFill patternType="gray125"/>
    </fill>
    <fill>
      <patternFill patternType="solid">
        <fgColor indexed="13"/>
        <bgColor indexed="64"/>
      </patternFill>
    </fill>
    <fill>
      <patternFill patternType="solid">
        <fgColor indexed="27"/>
        <bgColor indexed="64"/>
      </patternFill>
    </fill>
    <fill>
      <patternFill patternType="solid">
        <fgColor indexed="9"/>
        <bgColor indexed="64"/>
      </patternFill>
    </fill>
    <fill>
      <patternFill patternType="solid">
        <fgColor indexed="17"/>
        <bgColor indexed="64"/>
      </patternFill>
    </fill>
    <fill>
      <patternFill patternType="solid">
        <fgColor indexed="10"/>
        <bgColor indexed="64"/>
      </patternFill>
    </fill>
    <fill>
      <patternFill patternType="solid">
        <fgColor indexed="12"/>
        <bgColor indexed="64"/>
      </patternFill>
    </fill>
    <fill>
      <patternFill patternType="solid">
        <fgColor indexed="8"/>
        <bgColor indexed="64"/>
      </patternFill>
    </fill>
  </fills>
  <borders count="5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12"/>
      </left>
      <right/>
      <top style="medium">
        <color indexed="12"/>
      </top>
      <bottom style="medium">
        <color indexed="12"/>
      </bottom>
      <diagonal/>
    </border>
    <border>
      <left/>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10"/>
      </left>
      <right/>
      <top/>
      <bottom/>
      <diagonal/>
    </border>
    <border>
      <left/>
      <right style="medium">
        <color indexed="10"/>
      </right>
      <top/>
      <bottom/>
      <diagonal/>
    </border>
    <border>
      <left style="medium">
        <color indexed="20"/>
      </left>
      <right/>
      <top style="medium">
        <color indexed="20"/>
      </top>
      <bottom/>
      <diagonal/>
    </border>
    <border>
      <left/>
      <right/>
      <top style="medium">
        <color indexed="20"/>
      </top>
      <bottom/>
      <diagonal/>
    </border>
    <border>
      <left/>
      <right style="medium">
        <color indexed="20"/>
      </right>
      <top style="medium">
        <color indexed="20"/>
      </top>
      <bottom/>
      <diagonal/>
    </border>
    <border>
      <left style="medium">
        <color indexed="20"/>
      </left>
      <right/>
      <top/>
      <bottom/>
      <diagonal/>
    </border>
    <border>
      <left/>
      <right style="medium">
        <color indexed="20"/>
      </right>
      <top/>
      <bottom/>
      <diagonal/>
    </border>
    <border>
      <left style="medium">
        <color indexed="20"/>
      </left>
      <right/>
      <top/>
      <bottom style="medium">
        <color indexed="20"/>
      </bottom>
      <diagonal/>
    </border>
    <border>
      <left/>
      <right/>
      <top/>
      <bottom style="medium">
        <color indexed="20"/>
      </bottom>
      <diagonal/>
    </border>
    <border>
      <left/>
      <right style="medium">
        <color indexed="20"/>
      </right>
      <top/>
      <bottom style="medium">
        <color indexed="20"/>
      </bottom>
      <diagonal/>
    </border>
    <border>
      <left style="medium">
        <color indexed="17"/>
      </left>
      <right/>
      <top/>
      <bottom/>
      <diagonal/>
    </border>
    <border>
      <left/>
      <right style="medium">
        <color indexed="17"/>
      </right>
      <top/>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
      <left style="medium">
        <color indexed="17"/>
      </left>
      <right/>
      <top style="medium">
        <color indexed="17"/>
      </top>
      <bottom style="medium">
        <color indexed="17"/>
      </bottom>
      <diagonal/>
    </border>
    <border>
      <left/>
      <right/>
      <top style="medium">
        <color indexed="17"/>
      </top>
      <bottom style="medium">
        <color indexed="17"/>
      </bottom>
      <diagonal/>
    </border>
    <border>
      <left/>
      <right style="medium">
        <color indexed="17"/>
      </right>
      <top style="medium">
        <color indexed="17"/>
      </top>
      <bottom style="medium">
        <color indexed="17"/>
      </bottom>
      <diagonal/>
    </border>
    <border>
      <left style="medium">
        <color indexed="17"/>
      </left>
      <right style="medium">
        <color indexed="17"/>
      </right>
      <top style="medium">
        <color indexed="17"/>
      </top>
      <bottom style="medium">
        <color indexed="17"/>
      </bottom>
      <diagonal/>
    </border>
    <border>
      <left/>
      <right/>
      <top/>
      <bottom style="medium">
        <color indexed="17"/>
      </bottom>
      <diagonal/>
    </border>
    <border>
      <left/>
      <right style="medium">
        <color indexed="17"/>
      </right>
      <top/>
      <bottom style="medium">
        <color indexed="17"/>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44" fontId="1" fillId="0" borderId="0" applyFont="0" applyFill="0" applyBorder="0" applyAlignment="0" applyProtection="0"/>
    <xf numFmtId="44" fontId="6" fillId="0" borderId="0" applyFont="0" applyFill="0" applyBorder="0" applyAlignment="0" applyProtection="0"/>
    <xf numFmtId="0" fontId="29" fillId="0" borderId="0" applyNumberFormat="0" applyFill="0" applyBorder="0" applyAlignment="0" applyProtection="0"/>
    <xf numFmtId="0" fontId="6" fillId="0" borderId="0"/>
    <xf numFmtId="9" fontId="1" fillId="0" borderId="0" applyFont="0" applyFill="0" applyBorder="0" applyAlignment="0" applyProtection="0"/>
    <xf numFmtId="9" fontId="6" fillId="0" borderId="0" applyFont="0" applyFill="0" applyBorder="0" applyAlignment="0" applyProtection="0"/>
  </cellStyleXfs>
  <cellXfs count="244">
    <xf numFmtId="0" fontId="0" fillId="0" borderId="0" xfId="0"/>
    <xf numFmtId="10" fontId="0" fillId="0" borderId="0" xfId="5" applyNumberFormat="1" applyFont="1"/>
    <xf numFmtId="0" fontId="0" fillId="0" borderId="0" xfId="0" applyAlignment="1">
      <alignment horizontal="center"/>
    </xf>
    <xf numFmtId="0" fontId="3" fillId="0" borderId="0" xfId="0" applyFont="1" applyAlignment="1">
      <alignment horizontal="center" wrapText="1"/>
    </xf>
    <xf numFmtId="2" fontId="0" fillId="0" borderId="0" xfId="0" applyNumberFormat="1"/>
    <xf numFmtId="0" fontId="4" fillId="2" borderId="0" xfId="0" applyFont="1" applyFill="1" applyAlignment="1">
      <alignment horizontal="center"/>
    </xf>
    <xf numFmtId="10" fontId="0" fillId="0" borderId="0" xfId="0" applyNumberFormat="1"/>
    <xf numFmtId="44" fontId="0" fillId="0" borderId="0" xfId="1" applyFont="1"/>
    <xf numFmtId="165" fontId="0" fillId="0" borderId="0" xfId="1" applyNumberFormat="1" applyFont="1"/>
    <xf numFmtId="165" fontId="0" fillId="2" borderId="0" xfId="1" applyNumberFormat="1" applyFont="1" applyFill="1"/>
    <xf numFmtId="44" fontId="0" fillId="2" borderId="0" xfId="1" applyFont="1" applyFill="1"/>
    <xf numFmtId="10" fontId="0" fillId="0" borderId="0" xfId="0" applyNumberFormat="1" applyAlignment="1">
      <alignment horizontal="center"/>
    </xf>
    <xf numFmtId="2" fontId="0" fillId="0" borderId="0" xfId="0" applyNumberFormat="1" applyAlignment="1">
      <alignment horizontal="center"/>
    </xf>
    <xf numFmtId="0" fontId="4" fillId="0" borderId="0" xfId="0" applyFont="1" applyAlignment="1">
      <alignment horizontal="center"/>
    </xf>
    <xf numFmtId="0" fontId="5" fillId="0" borderId="0" xfId="0" applyFont="1"/>
    <xf numFmtId="0" fontId="6" fillId="0" borderId="0" xfId="0" applyFont="1"/>
    <xf numFmtId="10" fontId="7" fillId="2" borderId="0" xfId="5" applyNumberFormat="1" applyFont="1" applyFill="1"/>
    <xf numFmtId="0" fontId="6" fillId="0" borderId="0" xfId="0" applyFont="1" applyAlignment="1">
      <alignment horizontal="right"/>
    </xf>
    <xf numFmtId="44" fontId="0" fillId="0" borderId="0" xfId="0" applyNumberFormat="1"/>
    <xf numFmtId="165" fontId="7" fillId="2" borderId="0" xfId="1" applyNumberFormat="1" applyFont="1" applyFill="1"/>
    <xf numFmtId="44" fontId="7" fillId="2" borderId="0" xfId="1" applyFont="1" applyFill="1"/>
    <xf numFmtId="10" fontId="7" fillId="0" borderId="0" xfId="5" applyNumberFormat="1" applyFont="1" applyFill="1"/>
    <xf numFmtId="0" fontId="8" fillId="0" borderId="0" xfId="0" applyFont="1" applyAlignment="1">
      <alignment horizontal="center"/>
    </xf>
    <xf numFmtId="0" fontId="4" fillId="0" borderId="0" xfId="0" applyFont="1" applyAlignment="1">
      <alignment horizontal="right"/>
    </xf>
    <xf numFmtId="165" fontId="4" fillId="0" borderId="0" xfId="1" applyNumberFormat="1" applyFont="1"/>
    <xf numFmtId="44" fontId="4" fillId="0" borderId="0" xfId="1" applyFont="1" applyAlignment="1">
      <alignment horizontal="center"/>
    </xf>
    <xf numFmtId="10" fontId="4" fillId="0" borderId="0" xfId="0" applyNumberFormat="1" applyFont="1" applyAlignment="1">
      <alignment horizontal="center"/>
    </xf>
    <xf numFmtId="0" fontId="4" fillId="0" borderId="0" xfId="0" applyFont="1"/>
    <xf numFmtId="2" fontId="4" fillId="0" borderId="0" xfId="0" applyNumberFormat="1" applyFont="1"/>
    <xf numFmtId="9" fontId="0" fillId="0" borderId="0" xfId="5" applyFont="1" applyFill="1" applyBorder="1" applyAlignment="1" applyProtection="1"/>
    <xf numFmtId="0" fontId="0" fillId="0" borderId="0" xfId="0" applyFont="1" applyAlignment="1">
      <alignment horizontal="right"/>
    </xf>
    <xf numFmtId="9" fontId="0" fillId="0" borderId="0" xfId="0" applyNumberFormat="1"/>
    <xf numFmtId="0" fontId="0" fillId="0" borderId="0" xfId="0" applyFill="1"/>
    <xf numFmtId="0" fontId="4" fillId="0" borderId="0" xfId="0" applyFont="1" applyFill="1" applyBorder="1" applyAlignment="1">
      <alignment horizontal="center"/>
    </xf>
    <xf numFmtId="0" fontId="0" fillId="2" borderId="0" xfId="0" applyFill="1" applyBorder="1" applyAlignment="1">
      <alignment horizontal="center"/>
    </xf>
    <xf numFmtId="0" fontId="4" fillId="0" borderId="0" xfId="0" applyFont="1" applyFill="1" applyBorder="1"/>
    <xf numFmtId="0" fontId="0" fillId="0" borderId="0" xfId="0" applyBorder="1" applyAlignment="1">
      <alignment horizontal="center"/>
    </xf>
    <xf numFmtId="0" fontId="4" fillId="0" borderId="0" xfId="0" applyFont="1" applyBorder="1" applyAlignment="1">
      <alignment horizontal="center"/>
    </xf>
    <xf numFmtId="0" fontId="4" fillId="0" borderId="1" xfId="0" applyFont="1" applyBorder="1"/>
    <xf numFmtId="0" fontId="0" fillId="0" borderId="1" xfId="0" applyBorder="1" applyAlignment="1">
      <alignment horizontal="center"/>
    </xf>
    <xf numFmtId="0" fontId="0" fillId="0" borderId="1" xfId="0" applyFont="1" applyBorder="1" applyAlignment="1">
      <alignment horizontal="right"/>
    </xf>
    <xf numFmtId="0" fontId="6" fillId="2" borderId="2" xfId="0" applyFont="1" applyFill="1" applyBorder="1"/>
    <xf numFmtId="0" fontId="9" fillId="0" borderId="3" xfId="0" applyFont="1" applyFill="1" applyBorder="1" applyAlignment="1">
      <alignment horizontal="righ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2" borderId="5" xfId="0" applyFont="1" applyFill="1" applyBorder="1" applyAlignment="1">
      <alignment horizontal="left"/>
    </xf>
    <xf numFmtId="0" fontId="0" fillId="2" borderId="6" xfId="0" applyFill="1" applyBorder="1" applyAlignment="1">
      <alignment horizontal="center"/>
    </xf>
    <xf numFmtId="0" fontId="4" fillId="0" borderId="5" xfId="0" applyFont="1" applyFill="1" applyBorder="1"/>
    <xf numFmtId="0" fontId="4" fillId="0" borderId="6" xfId="0" applyFont="1" applyFill="1" applyBorder="1" applyAlignment="1">
      <alignment horizontal="center"/>
    </xf>
    <xf numFmtId="0" fontId="4" fillId="0" borderId="5" xfId="0" applyFont="1" applyBorder="1" applyAlignment="1">
      <alignment horizontal="left"/>
    </xf>
    <xf numFmtId="0" fontId="4" fillId="0" borderId="6" xfId="0" applyFont="1" applyBorder="1" applyAlignment="1">
      <alignment horizontal="center"/>
    </xf>
    <xf numFmtId="0" fontId="0" fillId="0" borderId="6" xfId="0" applyBorder="1" applyAlignment="1">
      <alignment horizontal="center"/>
    </xf>
    <xf numFmtId="0" fontId="4" fillId="0" borderId="7" xfId="0" applyFont="1" applyBorder="1"/>
    <xf numFmtId="0" fontId="0" fillId="0" borderId="8" xfId="0" applyBorder="1" applyAlignment="1">
      <alignment horizontal="center"/>
    </xf>
    <xf numFmtId="0" fontId="0" fillId="0" borderId="0" xfId="0" applyFill="1" applyBorder="1" applyAlignment="1">
      <alignment horizontal="center"/>
    </xf>
    <xf numFmtId="44" fontId="10" fillId="0" borderId="0" xfId="1" applyFont="1"/>
    <xf numFmtId="0" fontId="10" fillId="0" borderId="0" xfId="0" applyFont="1" applyAlignment="1">
      <alignment horizontal="right"/>
    </xf>
    <xf numFmtId="44" fontId="10" fillId="2" borderId="0" xfId="1" applyFont="1" applyFill="1"/>
    <xf numFmtId="0" fontId="12" fillId="0" borderId="0" xfId="0" applyFont="1" applyAlignment="1">
      <alignment horizontal="center" vertical="top" wrapText="1"/>
    </xf>
    <xf numFmtId="0" fontId="13" fillId="0" borderId="0" xfId="0" applyFont="1" applyAlignment="1">
      <alignment horizontal="center" vertical="top" wrapText="1"/>
    </xf>
    <xf numFmtId="2" fontId="12" fillId="0" borderId="0" xfId="0" applyNumberFormat="1" applyFont="1" applyAlignment="1">
      <alignment horizontal="center" vertical="top" wrapText="1"/>
    </xf>
    <xf numFmtId="44" fontId="12" fillId="0" borderId="0" xfId="1" applyFont="1" applyAlignment="1">
      <alignment horizontal="center" vertical="top" wrapText="1"/>
    </xf>
    <xf numFmtId="44" fontId="13" fillId="0" borderId="0" xfId="1" applyFont="1" applyAlignment="1">
      <alignment horizontal="center" vertical="top" wrapText="1"/>
    </xf>
    <xf numFmtId="0" fontId="14" fillId="0" borderId="0" xfId="0" applyFont="1" applyAlignment="1">
      <alignment horizontal="center" vertical="top" wrapText="1"/>
    </xf>
    <xf numFmtId="0" fontId="11" fillId="0" borderId="0" xfId="0" applyFont="1" applyAlignment="1">
      <alignment horizontal="center" vertical="top" wrapText="1"/>
    </xf>
    <xf numFmtId="166" fontId="15" fillId="0" borderId="0" xfId="0" applyNumberFormat="1" applyFont="1" applyAlignment="1">
      <alignment horizontal="center"/>
    </xf>
    <xf numFmtId="0" fontId="14" fillId="3" borderId="0" xfId="0" applyFont="1" applyFill="1" applyAlignment="1">
      <alignment horizontal="center" vertical="top" wrapText="1"/>
    </xf>
    <xf numFmtId="44" fontId="12" fillId="2" borderId="0" xfId="1" applyFont="1" applyFill="1" applyAlignment="1">
      <alignment horizontal="center" vertical="top" wrapText="1"/>
    </xf>
    <xf numFmtId="44" fontId="13" fillId="2" borderId="0" xfId="1" applyFont="1" applyFill="1" applyAlignment="1">
      <alignment horizontal="center" vertical="top" wrapText="1"/>
    </xf>
    <xf numFmtId="0" fontId="0" fillId="0" borderId="0" xfId="0" applyBorder="1"/>
    <xf numFmtId="0" fontId="0" fillId="4" borderId="0" xfId="0" applyFill="1" applyBorder="1"/>
    <xf numFmtId="0" fontId="16" fillId="4" borderId="0" xfId="0" applyFont="1" applyFill="1" applyBorder="1"/>
    <xf numFmtId="0" fontId="29" fillId="4" borderId="0" xfId="3" applyFill="1" applyBorder="1"/>
    <xf numFmtId="0" fontId="0" fillId="4" borderId="0" xfId="0" applyFill="1"/>
    <xf numFmtId="0" fontId="6" fillId="4" borderId="0" xfId="0" applyFont="1" applyFill="1" applyBorder="1"/>
    <xf numFmtId="0" fontId="9" fillId="0" borderId="0" xfId="0" applyFont="1"/>
    <xf numFmtId="0" fontId="9" fillId="0" borderId="9" xfId="0" applyFont="1" applyBorder="1" applyAlignment="1">
      <alignment horizontal="center" wrapText="1"/>
    </xf>
    <xf numFmtId="0" fontId="0" fillId="0" borderId="9" xfId="0" applyBorder="1" applyAlignment="1">
      <alignment horizontal="center" wrapText="1"/>
    </xf>
    <xf numFmtId="0" fontId="0" fillId="0" borderId="9" xfId="0" applyBorder="1"/>
    <xf numFmtId="2" fontId="0" fillId="0" borderId="9" xfId="0" applyNumberFormat="1" applyBorder="1"/>
    <xf numFmtId="1" fontId="0" fillId="0" borderId="9" xfId="0" applyNumberFormat="1" applyBorder="1"/>
    <xf numFmtId="0" fontId="0" fillId="0" borderId="0" xfId="0" applyAlignment="1">
      <alignment wrapText="1"/>
    </xf>
    <xf numFmtId="0" fontId="0" fillId="0" borderId="0" xfId="0" applyAlignment="1">
      <alignment horizontal="center" wrapText="1"/>
    </xf>
    <xf numFmtId="14" fontId="0" fillId="0" borderId="0" xfId="0" applyNumberFormat="1"/>
    <xf numFmtId="14" fontId="0" fillId="2" borderId="0" xfId="0" applyNumberFormat="1" applyFill="1"/>
    <xf numFmtId="0" fontId="0" fillId="2" borderId="0" xfId="0" applyFill="1"/>
    <xf numFmtId="0" fontId="0" fillId="0" borderId="0" xfId="0" quotePrefix="1"/>
    <xf numFmtId="0" fontId="18" fillId="4" borderId="0" xfId="0" applyFont="1" applyFill="1"/>
    <xf numFmtId="0" fontId="0" fillId="0" borderId="0" xfId="0" applyAlignment="1">
      <alignment textRotation="90"/>
    </xf>
    <xf numFmtId="17" fontId="0" fillId="0" borderId="0" xfId="0" applyNumberFormat="1" applyAlignment="1">
      <alignment textRotation="90"/>
    </xf>
    <xf numFmtId="0" fontId="0" fillId="0" borderId="0" xfId="0" applyAlignment="1">
      <alignment horizontal="right"/>
    </xf>
    <xf numFmtId="0" fontId="0" fillId="5" borderId="0" xfId="0" applyFill="1"/>
    <xf numFmtId="0" fontId="0" fillId="6" borderId="0" xfId="0" applyFill="1"/>
    <xf numFmtId="17" fontId="0" fillId="0" borderId="0" xfId="0" applyNumberFormat="1"/>
    <xf numFmtId="0" fontId="0" fillId="7" borderId="0" xfId="0" applyFill="1"/>
    <xf numFmtId="17" fontId="0" fillId="0" borderId="0" xfId="0" quotePrefix="1" applyNumberFormat="1"/>
    <xf numFmtId="0" fontId="6" fillId="0" borderId="0" xfId="0" applyFont="1" applyAlignment="1">
      <alignment horizontal="center" wrapText="1"/>
    </xf>
    <xf numFmtId="0" fontId="0" fillId="0" borderId="0" xfId="0" applyFill="1" applyAlignment="1">
      <alignment horizontal="center"/>
    </xf>
    <xf numFmtId="0" fontId="29" fillId="0" borderId="0" xfId="3" applyAlignment="1" applyProtection="1">
      <alignment horizontal="right"/>
    </xf>
    <xf numFmtId="0" fontId="21" fillId="0" borderId="0" xfId="0" applyFont="1" applyAlignment="1">
      <alignment horizontal="left"/>
    </xf>
    <xf numFmtId="0" fontId="21" fillId="0" borderId="0" xfId="0" applyFont="1" applyAlignment="1">
      <alignment horizontal="right"/>
    </xf>
    <xf numFmtId="0" fontId="9" fillId="0" borderId="0" xfId="0" applyFont="1" applyAlignment="1">
      <alignment horizontal="right"/>
    </xf>
    <xf numFmtId="0" fontId="3" fillId="0" borderId="0" xfId="0" applyFont="1" applyAlignment="1">
      <alignment horizontal="right"/>
    </xf>
    <xf numFmtId="0" fontId="2" fillId="2" borderId="10" xfId="0" applyFont="1" applyFill="1" applyBorder="1" applyProtection="1">
      <protection locked="0"/>
    </xf>
    <xf numFmtId="0" fontId="2" fillId="0" borderId="11" xfId="0" applyFont="1" applyBorder="1"/>
    <xf numFmtId="0" fontId="2" fillId="0" borderId="12" xfId="0" applyFont="1" applyBorder="1"/>
    <xf numFmtId="0" fontId="2" fillId="0" borderId="13" xfId="0" applyFont="1" applyBorder="1" applyAlignment="1">
      <alignment horizontal="right"/>
    </xf>
    <xf numFmtId="0" fontId="2" fillId="0" borderId="0" xfId="0" applyFont="1" applyBorder="1"/>
    <xf numFmtId="0" fontId="2" fillId="0" borderId="14" xfId="0" applyFont="1" applyBorder="1"/>
    <xf numFmtId="0" fontId="2" fillId="2" borderId="0" xfId="0" applyFont="1" applyFill="1" applyBorder="1" applyProtection="1">
      <protection locked="0"/>
    </xf>
    <xf numFmtId="44" fontId="2" fillId="2" borderId="0" xfId="1" applyFont="1" applyFill="1" applyBorder="1" applyProtection="1">
      <protection locked="0"/>
    </xf>
    <xf numFmtId="0" fontId="2" fillId="0" borderId="13" xfId="0" applyFont="1" applyFill="1" applyBorder="1" applyAlignment="1">
      <alignment horizontal="right"/>
    </xf>
    <xf numFmtId="44" fontId="2" fillId="0" borderId="0" xfId="1" applyFont="1" applyBorder="1"/>
    <xf numFmtId="44" fontId="2" fillId="0" borderId="0" xfId="0" applyNumberFormat="1" applyFont="1" applyBorder="1"/>
    <xf numFmtId="9" fontId="2" fillId="0" borderId="0" xfId="5" applyFont="1" applyBorder="1"/>
    <xf numFmtId="0" fontId="2" fillId="0" borderId="15" xfId="0" applyFont="1" applyBorder="1" applyAlignment="1">
      <alignment horizontal="right"/>
    </xf>
    <xf numFmtId="44" fontId="2" fillId="2" borderId="16" xfId="1" applyFont="1" applyFill="1" applyBorder="1" applyProtection="1">
      <protection locked="0"/>
    </xf>
    <xf numFmtId="0" fontId="2" fillId="0" borderId="17" xfId="0" applyFont="1" applyBorder="1"/>
    <xf numFmtId="0" fontId="2" fillId="0" borderId="18" xfId="0" applyFont="1" applyBorder="1" applyAlignment="1">
      <alignment horizontal="right"/>
    </xf>
    <xf numFmtId="0" fontId="2" fillId="0" borderId="19" xfId="0" applyFont="1" applyBorder="1"/>
    <xf numFmtId="0" fontId="3" fillId="0" borderId="0" xfId="0" applyFont="1" applyBorder="1" applyAlignment="1">
      <alignment horizontal="right"/>
    </xf>
    <xf numFmtId="0" fontId="2" fillId="0" borderId="20" xfId="0" applyFont="1" applyBorder="1" applyAlignment="1">
      <alignment horizontal="right"/>
    </xf>
    <xf numFmtId="44" fontId="2" fillId="0" borderId="21" xfId="1" applyFont="1" applyBorder="1"/>
    <xf numFmtId="0" fontId="2" fillId="0" borderId="22" xfId="0" applyFont="1" applyBorder="1"/>
    <xf numFmtId="0" fontId="2" fillId="0" borderId="23" xfId="0" applyFont="1" applyBorder="1" applyAlignment="1">
      <alignment horizontal="right"/>
    </xf>
    <xf numFmtId="10" fontId="2" fillId="2" borderId="0" xfId="0" applyNumberFormat="1" applyFont="1" applyFill="1" applyBorder="1" applyProtection="1">
      <protection locked="0"/>
    </xf>
    <xf numFmtId="0" fontId="2" fillId="0" borderId="24" xfId="0" applyFont="1" applyBorder="1"/>
    <xf numFmtId="2" fontId="2" fillId="0" borderId="0" xfId="0" applyNumberFormat="1" applyFont="1" applyBorder="1"/>
    <xf numFmtId="1" fontId="2" fillId="0" borderId="0" xfId="0" applyNumberFormat="1" applyFont="1" applyBorder="1"/>
    <xf numFmtId="9" fontId="2" fillId="2" borderId="0" xfId="0" applyNumberFormat="1" applyFont="1" applyFill="1" applyBorder="1" applyProtection="1">
      <protection locked="0"/>
    </xf>
    <xf numFmtId="0" fontId="2" fillId="0" borderId="25" xfId="0" applyFont="1" applyBorder="1" applyAlignment="1">
      <alignment horizontal="right"/>
    </xf>
    <xf numFmtId="0" fontId="2" fillId="2" borderId="26" xfId="0" applyFont="1" applyFill="1" applyBorder="1" applyProtection="1">
      <protection locked="0"/>
    </xf>
    <xf numFmtId="0" fontId="2" fillId="0" borderId="27" xfId="0" applyFont="1" applyBorder="1"/>
    <xf numFmtId="0" fontId="2" fillId="2" borderId="13" xfId="0" applyFont="1" applyFill="1" applyBorder="1" applyAlignment="1" applyProtection="1">
      <alignment horizontal="right"/>
      <protection locked="0"/>
    </xf>
    <xf numFmtId="0" fontId="2" fillId="2" borderId="28" xfId="0" applyFont="1" applyFill="1" applyBorder="1" applyAlignment="1" applyProtection="1">
      <alignment horizontal="right"/>
      <protection locked="0"/>
    </xf>
    <xf numFmtId="44" fontId="2" fillId="2" borderId="29" xfId="1" applyFont="1" applyFill="1" applyBorder="1" applyProtection="1">
      <protection locked="0"/>
    </xf>
    <xf numFmtId="0" fontId="2" fillId="0" borderId="30" xfId="0" applyFont="1" applyBorder="1"/>
    <xf numFmtId="0" fontId="2" fillId="0" borderId="31" xfId="0" applyFont="1" applyBorder="1" applyAlignment="1">
      <alignment horizontal="right"/>
    </xf>
    <xf numFmtId="8" fontId="22" fillId="0" borderId="32" xfId="0" applyNumberFormat="1" applyFont="1" applyBorder="1"/>
    <xf numFmtId="0" fontId="2" fillId="0" borderId="33" xfId="0" applyFont="1" applyBorder="1"/>
    <xf numFmtId="0" fontId="2" fillId="0" borderId="34" xfId="0" applyFont="1" applyBorder="1" applyAlignment="1">
      <alignment horizontal="right"/>
    </xf>
    <xf numFmtId="8" fontId="22" fillId="0" borderId="35" xfId="0" applyNumberFormat="1" applyFont="1" applyBorder="1"/>
    <xf numFmtId="0" fontId="2" fillId="0" borderId="36" xfId="0" applyFont="1" applyBorder="1"/>
    <xf numFmtId="0" fontId="2" fillId="0" borderId="23" xfId="0" applyFont="1" applyFill="1" applyBorder="1" applyAlignment="1">
      <alignment horizontal="right"/>
    </xf>
    <xf numFmtId="44" fontId="22" fillId="0" borderId="32" xfId="0" applyNumberFormat="1" applyFont="1" applyBorder="1"/>
    <xf numFmtId="0" fontId="29" fillId="0" borderId="0" xfId="3" applyAlignment="1" applyProtection="1">
      <alignment horizontal="left"/>
    </xf>
    <xf numFmtId="0" fontId="2" fillId="0" borderId="0" xfId="0" applyFont="1" applyFill="1" applyBorder="1" applyAlignment="1">
      <alignment horizontal="right"/>
    </xf>
    <xf numFmtId="0" fontId="2" fillId="0" borderId="0" xfId="0" applyFont="1" applyBorder="1" applyAlignment="1">
      <alignment horizontal="right"/>
    </xf>
    <xf numFmtId="0" fontId="5" fillId="0" borderId="0" xfId="0" applyFont="1" applyProtection="1"/>
    <xf numFmtId="0" fontId="0" fillId="0" borderId="0" xfId="0" applyProtection="1"/>
    <xf numFmtId="0" fontId="21" fillId="0" borderId="0" xfId="0" applyFont="1" applyAlignment="1" applyProtection="1">
      <alignment horizontal="left"/>
    </xf>
    <xf numFmtId="0" fontId="23" fillId="8" borderId="37" xfId="0" applyFont="1" applyFill="1" applyBorder="1" applyProtection="1"/>
    <xf numFmtId="0" fontId="21" fillId="0" borderId="38" xfId="0" applyFont="1" applyBorder="1" applyAlignment="1" applyProtection="1">
      <alignment horizontal="right"/>
    </xf>
    <xf numFmtId="0" fontId="0" fillId="0" borderId="38" xfId="0" applyBorder="1" applyProtection="1"/>
    <xf numFmtId="0" fontId="0" fillId="0" borderId="39" xfId="0" applyBorder="1" applyProtection="1"/>
    <xf numFmtId="0" fontId="0" fillId="0" borderId="40" xfId="0" applyBorder="1" applyProtection="1"/>
    <xf numFmtId="0" fontId="23" fillId="8" borderId="41" xfId="0" applyFont="1" applyFill="1" applyBorder="1" applyProtection="1"/>
    <xf numFmtId="0" fontId="0" fillId="0" borderId="42" xfId="0" applyBorder="1" applyProtection="1"/>
    <xf numFmtId="0" fontId="0" fillId="0" borderId="42" xfId="0" applyFill="1" applyBorder="1" applyProtection="1"/>
    <xf numFmtId="0" fontId="0" fillId="0" borderId="40" xfId="0" applyFill="1" applyBorder="1" applyProtection="1"/>
    <xf numFmtId="0" fontId="24" fillId="8" borderId="39" xfId="0" applyFont="1" applyFill="1" applyBorder="1" applyProtection="1"/>
    <xf numFmtId="0" fontId="0" fillId="8" borderId="39" xfId="0" applyFill="1" applyBorder="1" applyProtection="1"/>
    <xf numFmtId="0" fontId="0" fillId="8" borderId="40" xfId="0" applyFill="1" applyBorder="1" applyProtection="1"/>
    <xf numFmtId="0" fontId="4" fillId="2" borderId="37" xfId="0" applyFont="1" applyFill="1" applyBorder="1" applyProtection="1">
      <protection locked="0"/>
    </xf>
    <xf numFmtId="0" fontId="2" fillId="0" borderId="43" xfId="0" applyFont="1" applyFill="1" applyBorder="1" applyProtection="1"/>
    <xf numFmtId="0" fontId="0" fillId="2" borderId="44" xfId="0" applyFill="1" applyBorder="1" applyProtection="1">
      <protection locked="0"/>
    </xf>
    <xf numFmtId="0" fontId="0" fillId="2" borderId="45" xfId="0" applyFill="1" applyBorder="1" applyProtection="1">
      <protection locked="0"/>
    </xf>
    <xf numFmtId="0" fontId="0" fillId="2" borderId="46" xfId="0" applyFill="1" applyBorder="1" applyProtection="1">
      <protection locked="0"/>
    </xf>
    <xf numFmtId="44" fontId="0" fillId="2" borderId="46" xfId="0" applyNumberFormat="1" applyFill="1" applyBorder="1" applyProtection="1">
      <protection locked="0"/>
    </xf>
    <xf numFmtId="44" fontId="0" fillId="0" borderId="47" xfId="1" applyFont="1" applyBorder="1" applyProtection="1"/>
    <xf numFmtId="0" fontId="0" fillId="0" borderId="48" xfId="0" applyBorder="1" applyProtection="1"/>
    <xf numFmtId="0" fontId="0" fillId="0" borderId="0" xfId="0" applyBorder="1" applyProtection="1"/>
    <xf numFmtId="0" fontId="0" fillId="0" borderId="47" xfId="0" applyBorder="1" applyProtection="1"/>
    <xf numFmtId="0" fontId="6" fillId="0" borderId="48" xfId="0" applyFont="1" applyFill="1" applyBorder="1" applyAlignment="1" applyProtection="1">
      <alignment horizontal="right"/>
    </xf>
    <xf numFmtId="0" fontId="6" fillId="0" borderId="47" xfId="0" applyFont="1" applyFill="1" applyBorder="1" applyProtection="1"/>
    <xf numFmtId="0" fontId="0" fillId="2" borderId="48" xfId="0" applyFill="1" applyBorder="1" applyProtection="1">
      <protection locked="0"/>
    </xf>
    <xf numFmtId="44" fontId="0" fillId="2" borderId="45" xfId="0" applyNumberFormat="1" applyFill="1" applyBorder="1" applyProtection="1">
      <protection locked="0"/>
    </xf>
    <xf numFmtId="44" fontId="6" fillId="2" borderId="47" xfId="1" applyFont="1" applyFill="1" applyBorder="1" applyProtection="1">
      <protection locked="0"/>
    </xf>
    <xf numFmtId="0" fontId="0" fillId="0" borderId="0" xfId="0" applyFill="1" applyBorder="1" applyProtection="1"/>
    <xf numFmtId="44" fontId="6" fillId="0" borderId="47" xfId="1" applyFont="1" applyFill="1" applyBorder="1" applyProtection="1"/>
    <xf numFmtId="164" fontId="0" fillId="0" borderId="0" xfId="0" applyNumberFormat="1" applyBorder="1" applyProtection="1"/>
    <xf numFmtId="2" fontId="0" fillId="2" borderId="0" xfId="0" applyNumberFormat="1" applyFill="1" applyBorder="1" applyProtection="1">
      <protection locked="0"/>
    </xf>
    <xf numFmtId="44" fontId="0" fillId="2" borderId="47" xfId="1" applyFont="1" applyFill="1" applyBorder="1" applyProtection="1">
      <protection locked="0"/>
    </xf>
    <xf numFmtId="44" fontId="6" fillId="0" borderId="47" xfId="0" applyNumberFormat="1" applyFont="1" applyFill="1" applyBorder="1" applyProtection="1"/>
    <xf numFmtId="10" fontId="6" fillId="0" borderId="47" xfId="5" applyNumberFormat="1" applyFont="1" applyFill="1" applyBorder="1" applyProtection="1"/>
    <xf numFmtId="0" fontId="0" fillId="0" borderId="48" xfId="0" applyBorder="1" applyAlignment="1" applyProtection="1">
      <alignment horizontal="right"/>
    </xf>
    <xf numFmtId="0" fontId="0" fillId="2" borderId="0" xfId="0" applyFill="1" applyBorder="1" applyProtection="1">
      <protection locked="0"/>
    </xf>
    <xf numFmtId="0" fontId="21" fillId="0" borderId="0" xfId="0" applyFont="1" applyBorder="1" applyAlignment="1" applyProtection="1">
      <alignment horizontal="right"/>
    </xf>
    <xf numFmtId="39" fontId="6" fillId="0" borderId="47" xfId="1" applyNumberFormat="1" applyFont="1" applyFill="1" applyBorder="1" applyProtection="1"/>
    <xf numFmtId="0" fontId="0" fillId="0" borderId="48" xfId="0" applyFill="1" applyBorder="1" applyProtection="1"/>
    <xf numFmtId="9" fontId="6" fillId="2" borderId="47" xfId="5" applyFont="1" applyFill="1" applyBorder="1" applyProtection="1">
      <protection locked="0"/>
    </xf>
    <xf numFmtId="0" fontId="0" fillId="2" borderId="49" xfId="0" applyFill="1" applyBorder="1" applyProtection="1">
      <protection locked="0"/>
    </xf>
    <xf numFmtId="44" fontId="0" fillId="2" borderId="49" xfId="0" applyNumberFormat="1" applyFill="1" applyBorder="1" applyProtection="1">
      <protection locked="0"/>
    </xf>
    <xf numFmtId="0" fontId="0" fillId="0" borderId="50" xfId="0" applyBorder="1" applyAlignment="1" applyProtection="1">
      <alignment horizontal="right"/>
    </xf>
    <xf numFmtId="44" fontId="0" fillId="2" borderId="51" xfId="1" applyFont="1" applyFill="1" applyBorder="1" applyProtection="1">
      <protection locked="0"/>
    </xf>
    <xf numFmtId="0" fontId="0" fillId="0" borderId="52" xfId="0" quotePrefix="1" applyBorder="1" applyProtection="1"/>
    <xf numFmtId="0" fontId="0" fillId="0" borderId="52" xfId="0" applyBorder="1" applyProtection="1"/>
    <xf numFmtId="44" fontId="0" fillId="0" borderId="53" xfId="0" applyNumberFormat="1" applyBorder="1" applyProtection="1"/>
    <xf numFmtId="0" fontId="0" fillId="0" borderId="50" xfId="0" applyFill="1" applyBorder="1" applyProtection="1"/>
    <xf numFmtId="0" fontId="0" fillId="0" borderId="52" xfId="0" applyFill="1" applyBorder="1" applyProtection="1"/>
    <xf numFmtId="0" fontId="0" fillId="0" borderId="53" xfId="0" applyBorder="1" applyProtection="1"/>
    <xf numFmtId="0" fontId="0" fillId="0" borderId="39" xfId="0" applyFill="1" applyBorder="1" applyProtection="1"/>
    <xf numFmtId="0" fontId="6" fillId="2" borderId="48" xfId="0" applyFont="1" applyFill="1" applyBorder="1" applyAlignment="1" applyProtection="1">
      <alignment horizontal="right"/>
      <protection locked="0"/>
    </xf>
    <xf numFmtId="0" fontId="0" fillId="0" borderId="0" xfId="0" applyBorder="1" applyAlignment="1" applyProtection="1">
      <alignment horizontal="right"/>
    </xf>
    <xf numFmtId="164" fontId="0" fillId="0" borderId="47" xfId="0" applyNumberFormat="1" applyBorder="1" applyProtection="1"/>
    <xf numFmtId="44" fontId="24" fillId="2" borderId="0" xfId="1" applyFont="1" applyFill="1" applyBorder="1" applyProtection="1">
      <protection locked="0"/>
    </xf>
    <xf numFmtId="0" fontId="0" fillId="2" borderId="47" xfId="0" applyFill="1" applyBorder="1" applyProtection="1">
      <protection locked="0"/>
    </xf>
    <xf numFmtId="44" fontId="0" fillId="0" borderId="47" xfId="0" applyNumberFormat="1" applyBorder="1" applyProtection="1"/>
    <xf numFmtId="37" fontId="6" fillId="0" borderId="47" xfId="0" applyNumberFormat="1" applyFont="1" applyFill="1" applyBorder="1" applyProtection="1"/>
    <xf numFmtId="0" fontId="6" fillId="0" borderId="48" xfId="0" applyFont="1" applyBorder="1" applyAlignment="1" applyProtection="1">
      <alignment horizontal="right"/>
    </xf>
    <xf numFmtId="44" fontId="4" fillId="0" borderId="47" xfId="0" applyNumberFormat="1" applyFont="1" applyBorder="1" applyProtection="1"/>
    <xf numFmtId="164" fontId="0" fillId="0" borderId="0" xfId="0" applyNumberFormat="1" applyFill="1" applyBorder="1" applyProtection="1"/>
    <xf numFmtId="0" fontId="0" fillId="0" borderId="0" xfId="0" applyBorder="1" applyAlignment="1" applyProtection="1">
      <alignment horizontal="center"/>
    </xf>
    <xf numFmtId="37" fontId="4" fillId="2" borderId="47" xfId="0" applyNumberFormat="1" applyFont="1" applyFill="1" applyBorder="1" applyProtection="1">
      <protection locked="0"/>
    </xf>
    <xf numFmtId="0" fontId="0" fillId="0" borderId="47" xfId="0" applyBorder="1" applyAlignment="1" applyProtection="1">
      <alignment horizontal="center"/>
    </xf>
    <xf numFmtId="44" fontId="4" fillId="0" borderId="47" xfId="1" applyFont="1" applyBorder="1" applyProtection="1"/>
    <xf numFmtId="0" fontId="0" fillId="0" borderId="50" xfId="0" applyBorder="1" applyProtection="1"/>
    <xf numFmtId="0" fontId="0" fillId="0" borderId="52" xfId="0" applyBorder="1" applyAlignment="1" applyProtection="1">
      <alignment horizontal="right"/>
    </xf>
    <xf numFmtId="164" fontId="0" fillId="0" borderId="53" xfId="0" applyNumberFormat="1" applyBorder="1" applyProtection="1"/>
    <xf numFmtId="44" fontId="0" fillId="0" borderId="52" xfId="1" applyFont="1" applyBorder="1" applyProtection="1"/>
    <xf numFmtId="44" fontId="0" fillId="0" borderId="52" xfId="0" applyNumberFormat="1" applyBorder="1" applyProtection="1"/>
    <xf numFmtId="0" fontId="0" fillId="0" borderId="37" xfId="0" applyBorder="1" applyAlignment="1" applyProtection="1">
      <alignment horizontal="right"/>
    </xf>
    <xf numFmtId="44" fontId="18" fillId="0" borderId="43" xfId="0" applyNumberFormat="1" applyFont="1" applyBorder="1" applyProtection="1"/>
    <xf numFmtId="0" fontId="26" fillId="0" borderId="0" xfId="0" applyFont="1"/>
    <xf numFmtId="44" fontId="26" fillId="0" borderId="0" xfId="2" applyFont="1"/>
    <xf numFmtId="9" fontId="4" fillId="0" borderId="0" xfId="6" applyFont="1"/>
    <xf numFmtId="0" fontId="26" fillId="0" borderId="0" xfId="0" applyFont="1" applyAlignment="1">
      <alignment horizontal="center"/>
    </xf>
    <xf numFmtId="0" fontId="2" fillId="0" borderId="0" xfId="0" applyFont="1" applyAlignment="1">
      <alignment horizontal="center" wrapText="1"/>
    </xf>
    <xf numFmtId="14" fontId="6" fillId="0" borderId="0" xfId="0" applyNumberFormat="1" applyFont="1" applyAlignment="1">
      <alignment horizontal="center"/>
    </xf>
    <xf numFmtId="44" fontId="0" fillId="0" borderId="0" xfId="2" applyFont="1"/>
    <xf numFmtId="8" fontId="0" fillId="0" borderId="0" xfId="0" applyNumberFormat="1" applyAlignment="1">
      <alignment horizontal="center"/>
    </xf>
    <xf numFmtId="0" fontId="26" fillId="0" borderId="0" xfId="0" applyFont="1" applyAlignment="1">
      <alignment horizontal="left"/>
    </xf>
    <xf numFmtId="16" fontId="26" fillId="0" borderId="0" xfId="0" quotePrefix="1" applyNumberFormat="1" applyFont="1" applyAlignment="1">
      <alignment horizontal="center"/>
    </xf>
    <xf numFmtId="0" fontId="25" fillId="0" borderId="0" xfId="0" applyFont="1"/>
    <xf numFmtId="2" fontId="0" fillId="0" borderId="0" xfId="0" applyNumberFormat="1" applyAlignment="1">
      <alignment horizontal="right"/>
    </xf>
    <xf numFmtId="1" fontId="0" fillId="0" borderId="0" xfId="0" applyNumberFormat="1" applyAlignment="1">
      <alignment horizontal="right"/>
    </xf>
    <xf numFmtId="0" fontId="27" fillId="0" borderId="0" xfId="0" applyFont="1"/>
    <xf numFmtId="0" fontId="0" fillId="2" borderId="0" xfId="0" applyFill="1" applyAlignment="1">
      <alignment horizontal="right"/>
    </xf>
    <xf numFmtId="14" fontId="0" fillId="2" borderId="0" xfId="0" applyNumberFormat="1" applyFill="1" applyAlignment="1">
      <alignment horizontal="right"/>
    </xf>
    <xf numFmtId="0" fontId="4" fillId="0" borderId="0" xfId="0" applyFont="1" applyAlignment="1">
      <alignment horizontal="center" wrapText="1"/>
    </xf>
    <xf numFmtId="0" fontId="4" fillId="4" borderId="0" xfId="0" applyFont="1" applyFill="1" applyBorder="1"/>
    <xf numFmtId="0" fontId="11" fillId="0" borderId="0" xfId="0" applyFont="1" applyAlignment="1">
      <alignment horizontal="center" vertical="top" wrapText="1"/>
    </xf>
    <xf numFmtId="0" fontId="4" fillId="0" borderId="9" xfId="0" applyFont="1" applyBorder="1" applyAlignment="1">
      <alignment horizontal="center" wrapText="1"/>
    </xf>
    <xf numFmtId="0" fontId="9" fillId="0" borderId="9" xfId="0" applyFont="1" applyBorder="1" applyAlignment="1">
      <alignment horizontal="center" wrapText="1"/>
    </xf>
  </cellXfs>
  <cellStyles count="7">
    <cellStyle name="Currency" xfId="1" builtinId="4"/>
    <cellStyle name="Currency 2" xfId="2"/>
    <cellStyle name="Hyperlink" xfId="3" builtinId="8"/>
    <cellStyle name="Normal" xfId="0" builtinId="0"/>
    <cellStyle name="Normal 2" xfId="4"/>
    <cellStyle name="Percent" xfId="5" builtinId="5"/>
    <cellStyle name="Percent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142875</xdr:rowOff>
    </xdr:from>
    <xdr:to>
      <xdr:col>8</xdr:col>
      <xdr:colOff>600075</xdr:colOff>
      <xdr:row>7</xdr:row>
      <xdr:rowOff>0</xdr:rowOff>
    </xdr:to>
    <xdr:pic>
      <xdr:nvPicPr>
        <xdr:cNvPr id="18433" name="Picture 2" descr="WRNF_LH_LOGO2"/>
        <xdr:cNvPicPr>
          <a:picLocks noChangeAspect="1" noChangeArrowheads="1"/>
        </xdr:cNvPicPr>
      </xdr:nvPicPr>
      <xdr:blipFill>
        <a:blip xmlns:r="http://schemas.openxmlformats.org/officeDocument/2006/relationships" r:embed="rId1" cstate="print"/>
        <a:srcRect/>
        <a:stretch>
          <a:fillRect/>
        </a:stretch>
      </xdr:blipFill>
      <xdr:spPr bwMode="auto">
        <a:xfrm>
          <a:off x="219075" y="142875"/>
          <a:ext cx="6934200" cy="11334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orders@collegesuppliers.com" TargetMode="External"/><Relationship Id="rId2" Type="http://schemas.openxmlformats.org/officeDocument/2006/relationships/hyperlink" Target="http://www.windyridgepoultry.com/5p.htm" TargetMode="External"/><Relationship Id="rId1" Type="http://schemas.openxmlformats.org/officeDocument/2006/relationships/hyperlink" Target="http://www.organicpasturedpoultry.com/"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windyridgepoultry.com/" TargetMode="External"/><Relationship Id="rId1" Type="http://schemas.openxmlformats.org/officeDocument/2006/relationships/hyperlink" Target="http://www.collegesuppliers.com/"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collegesuppliers.com/" TargetMode="External"/><Relationship Id="rId1" Type="http://schemas.openxmlformats.org/officeDocument/2006/relationships/hyperlink" Target="http://www.windyridgepoultr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workbookViewId="0">
      <selection activeCell="P12" sqref="P12"/>
    </sheetView>
  </sheetViews>
  <sheetFormatPr defaultColWidth="9.109375" defaultRowHeight="13.2" x14ac:dyDescent="0.25"/>
  <cols>
    <col min="1" max="1" width="9.109375" style="73"/>
    <col min="2" max="2" width="38.109375" style="73" customWidth="1"/>
    <col min="3" max="16384" width="9.109375" style="73"/>
  </cols>
  <sheetData>
    <row r="1" spans="1:13" x14ac:dyDescent="0.25">
      <c r="B1" s="70"/>
      <c r="C1" s="70"/>
      <c r="D1" s="70"/>
      <c r="E1" s="70"/>
      <c r="F1" s="70"/>
      <c r="G1" s="70"/>
      <c r="H1" s="70"/>
      <c r="I1" s="70"/>
      <c r="J1" s="70"/>
      <c r="K1" s="70"/>
      <c r="L1" s="70"/>
      <c r="M1" s="70"/>
    </row>
    <row r="2" spans="1:13" x14ac:dyDescent="0.25">
      <c r="B2" s="70" t="s">
        <v>61</v>
      </c>
      <c r="C2" s="70"/>
      <c r="D2" s="70"/>
      <c r="E2" s="70"/>
      <c r="F2" s="70"/>
      <c r="G2" s="70"/>
      <c r="H2" s="70"/>
      <c r="I2" s="70"/>
      <c r="J2" s="70"/>
      <c r="K2" s="70"/>
      <c r="L2" s="70"/>
      <c r="M2" s="70"/>
    </row>
    <row r="3" spans="1:13" x14ac:dyDescent="0.25">
      <c r="B3" s="70"/>
      <c r="C3" s="70"/>
      <c r="D3" s="70"/>
      <c r="E3" s="70"/>
      <c r="F3" s="70"/>
      <c r="G3" s="70"/>
      <c r="H3" s="70"/>
      <c r="I3" s="70"/>
      <c r="J3" s="70"/>
      <c r="K3" s="70"/>
      <c r="L3" s="70"/>
      <c r="M3" s="70"/>
    </row>
    <row r="4" spans="1:13" ht="35.4" x14ac:dyDescent="0.6">
      <c r="B4" s="71" t="s">
        <v>312</v>
      </c>
      <c r="C4" s="70"/>
      <c r="D4" s="70"/>
      <c r="E4" s="70"/>
      <c r="F4" s="70"/>
      <c r="G4" s="70"/>
      <c r="H4" s="70"/>
      <c r="I4" s="70"/>
      <c r="J4" s="70"/>
      <c r="K4" s="70"/>
      <c r="L4" s="70"/>
      <c r="M4" s="70"/>
    </row>
    <row r="5" spans="1:13" x14ac:dyDescent="0.25">
      <c r="B5" s="74" t="s">
        <v>63</v>
      </c>
      <c r="C5" s="70"/>
      <c r="D5" s="70"/>
      <c r="E5" s="70"/>
      <c r="H5" s="70"/>
      <c r="I5" s="70"/>
      <c r="J5" s="74" t="s">
        <v>103</v>
      </c>
      <c r="K5" s="70"/>
      <c r="L5" s="70"/>
      <c r="M5" s="70"/>
    </row>
    <row r="6" spans="1:13" x14ac:dyDescent="0.25">
      <c r="B6" s="74" t="s">
        <v>333</v>
      </c>
      <c r="C6" s="70"/>
      <c r="D6" s="70"/>
      <c r="E6" s="70"/>
      <c r="F6" s="70"/>
      <c r="G6" s="70"/>
      <c r="H6" s="70"/>
      <c r="I6" s="70"/>
      <c r="J6" s="70"/>
      <c r="K6" s="70"/>
      <c r="L6" s="70"/>
      <c r="M6" s="70"/>
    </row>
    <row r="7" spans="1:13" x14ac:dyDescent="0.25">
      <c r="B7" s="74" t="s">
        <v>334</v>
      </c>
      <c r="C7" s="70"/>
      <c r="D7" s="70"/>
      <c r="E7" s="70"/>
      <c r="F7" s="70"/>
      <c r="G7" s="70"/>
      <c r="H7" s="70"/>
      <c r="I7" s="70"/>
      <c r="J7" s="70"/>
      <c r="K7" s="74"/>
      <c r="L7" s="70"/>
      <c r="M7" s="70"/>
    </row>
    <row r="8" spans="1:13" ht="13.8" x14ac:dyDescent="0.3">
      <c r="B8" s="74" t="s">
        <v>335</v>
      </c>
      <c r="C8" s="70"/>
      <c r="D8" s="70"/>
      <c r="E8" s="70"/>
      <c r="G8" s="70"/>
      <c r="H8" s="70"/>
      <c r="I8" s="70"/>
      <c r="J8" s="70"/>
      <c r="K8" s="70"/>
      <c r="L8" s="70"/>
      <c r="M8" s="70"/>
    </row>
    <row r="9" spans="1:13" x14ac:dyDescent="0.25">
      <c r="B9" s="240" t="s">
        <v>318</v>
      </c>
      <c r="C9" s="70"/>
      <c r="D9" s="70"/>
      <c r="E9" s="70"/>
      <c r="F9" s="74"/>
      <c r="G9" s="70"/>
      <c r="H9" s="70"/>
      <c r="I9" s="70"/>
      <c r="J9" s="70"/>
      <c r="K9" s="70"/>
      <c r="L9" s="70"/>
      <c r="M9" s="70"/>
    </row>
    <row r="10" spans="1:13" x14ac:dyDescent="0.25">
      <c r="C10" s="70"/>
      <c r="D10" s="70"/>
      <c r="E10" s="70"/>
      <c r="F10" s="70"/>
      <c r="G10" s="70"/>
      <c r="H10" s="70"/>
      <c r="I10" s="70"/>
      <c r="J10" s="70"/>
      <c r="K10" s="70"/>
      <c r="L10" s="70"/>
      <c r="M10" s="70"/>
    </row>
    <row r="11" spans="1:13" ht="13.8" x14ac:dyDescent="0.25">
      <c r="A11" s="87">
        <v>1</v>
      </c>
      <c r="B11" s="72" t="s">
        <v>62</v>
      </c>
      <c r="C11" s="70"/>
      <c r="D11" s="70"/>
      <c r="E11" s="70"/>
      <c r="F11" s="70"/>
      <c r="G11" s="70"/>
      <c r="H11" s="70"/>
      <c r="I11" s="70"/>
      <c r="J11" s="70"/>
      <c r="K11" s="70"/>
      <c r="L11" s="70"/>
      <c r="M11" s="70"/>
    </row>
    <row r="12" spans="1:13" ht="13.8" x14ac:dyDescent="0.25">
      <c r="A12" s="87">
        <v>2</v>
      </c>
      <c r="B12" s="72" t="s">
        <v>64</v>
      </c>
      <c r="C12" s="70"/>
      <c r="D12" s="70"/>
      <c r="E12" s="70"/>
      <c r="F12" s="70"/>
      <c r="G12" s="70"/>
      <c r="H12" s="70"/>
      <c r="I12" s="70"/>
      <c r="J12" s="70"/>
      <c r="K12" s="70"/>
      <c r="L12" s="70"/>
      <c r="M12" s="70"/>
    </row>
    <row r="13" spans="1:13" ht="13.8" x14ac:dyDescent="0.25">
      <c r="A13" s="87">
        <v>3</v>
      </c>
      <c r="B13" s="72" t="s">
        <v>65</v>
      </c>
      <c r="C13" s="70"/>
      <c r="D13" s="70"/>
      <c r="E13" s="70"/>
      <c r="F13" s="70"/>
      <c r="G13" s="70"/>
      <c r="H13" s="70"/>
      <c r="I13" s="70"/>
      <c r="J13" s="70"/>
      <c r="K13" s="70"/>
      <c r="L13" s="70"/>
      <c r="M13" s="70"/>
    </row>
    <row r="14" spans="1:13" ht="13.8" x14ac:dyDescent="0.25">
      <c r="A14" s="87">
        <v>4</v>
      </c>
      <c r="B14" s="72" t="s">
        <v>66</v>
      </c>
      <c r="C14" s="70"/>
      <c r="D14" s="70"/>
      <c r="E14" s="70"/>
      <c r="F14" s="70"/>
      <c r="G14" s="70"/>
      <c r="H14" s="70"/>
      <c r="I14" s="70"/>
      <c r="J14" s="70"/>
      <c r="K14" s="70"/>
      <c r="L14" s="70"/>
      <c r="M14" s="70"/>
    </row>
    <row r="15" spans="1:13" ht="13.8" x14ac:dyDescent="0.25">
      <c r="A15" s="87">
        <v>5</v>
      </c>
      <c r="B15" s="72" t="s">
        <v>67</v>
      </c>
      <c r="C15" s="70"/>
      <c r="D15" s="70"/>
      <c r="E15" s="70"/>
      <c r="F15" s="70"/>
      <c r="G15" s="70"/>
      <c r="H15" s="70"/>
      <c r="I15" s="70"/>
      <c r="J15" s="70"/>
      <c r="K15" s="70"/>
      <c r="L15" s="70"/>
      <c r="M15" s="70"/>
    </row>
    <row r="16" spans="1:13" ht="13.8" x14ac:dyDescent="0.25">
      <c r="A16" s="87">
        <v>6</v>
      </c>
      <c r="B16" s="72" t="s">
        <v>310</v>
      </c>
      <c r="C16" s="70"/>
      <c r="D16" s="70"/>
      <c r="E16" s="70"/>
      <c r="F16" s="70"/>
      <c r="G16" s="70"/>
      <c r="H16" s="70"/>
      <c r="I16" s="70"/>
      <c r="J16" s="70"/>
      <c r="K16" s="70"/>
      <c r="L16" s="70"/>
      <c r="M16" s="70"/>
    </row>
    <row r="17" spans="1:13" ht="13.8" x14ac:dyDescent="0.25">
      <c r="A17" s="87">
        <v>7</v>
      </c>
      <c r="B17" s="72" t="s">
        <v>94</v>
      </c>
      <c r="C17" s="86"/>
      <c r="D17" s="70"/>
      <c r="E17" s="70"/>
      <c r="F17" s="70"/>
      <c r="G17" s="70"/>
      <c r="H17" s="70"/>
      <c r="I17" s="70"/>
      <c r="J17" s="70"/>
      <c r="K17" s="70"/>
      <c r="L17" s="70"/>
      <c r="M17" s="70"/>
    </row>
    <row r="18" spans="1:13" ht="13.8" x14ac:dyDescent="0.25">
      <c r="A18" s="87">
        <v>8</v>
      </c>
      <c r="B18" s="72" t="s">
        <v>102</v>
      </c>
      <c r="C18" s="70"/>
      <c r="D18" s="70"/>
      <c r="E18" s="70"/>
      <c r="F18" s="70"/>
      <c r="G18" s="70"/>
      <c r="H18" s="70"/>
      <c r="I18" s="70"/>
      <c r="J18" s="70"/>
      <c r="K18" s="70"/>
      <c r="L18" s="70"/>
      <c r="M18" s="70"/>
    </row>
    <row r="19" spans="1:13" ht="13.8" x14ac:dyDescent="0.25">
      <c r="A19" s="87">
        <v>9</v>
      </c>
      <c r="B19" s="72" t="s">
        <v>107</v>
      </c>
      <c r="C19" s="70"/>
      <c r="D19" s="70"/>
      <c r="E19" s="70"/>
      <c r="F19" s="70"/>
      <c r="G19" s="70"/>
      <c r="H19" s="70"/>
      <c r="I19" s="70"/>
      <c r="J19" s="70"/>
      <c r="K19" s="70"/>
      <c r="L19" s="70"/>
      <c r="M19" s="70"/>
    </row>
    <row r="20" spans="1:13" ht="13.8" x14ac:dyDescent="0.25">
      <c r="A20" s="87">
        <v>10</v>
      </c>
      <c r="B20" s="72" t="s">
        <v>309</v>
      </c>
      <c r="C20" s="70"/>
      <c r="D20" s="70"/>
      <c r="E20" s="70"/>
      <c r="F20" s="70"/>
      <c r="G20" s="70"/>
      <c r="H20" s="70"/>
      <c r="I20" s="70"/>
      <c r="J20" s="70"/>
      <c r="K20" s="70"/>
      <c r="L20" s="70"/>
      <c r="M20" s="70"/>
    </row>
    <row r="21" spans="1:13" x14ac:dyDescent="0.25">
      <c r="B21" s="70"/>
      <c r="C21" s="70"/>
      <c r="D21" s="70"/>
      <c r="E21" s="70"/>
      <c r="F21" s="70"/>
      <c r="G21" s="70"/>
      <c r="H21" s="70"/>
      <c r="I21" s="70"/>
      <c r="J21" s="70"/>
      <c r="K21" s="70"/>
      <c r="L21" s="70"/>
      <c r="M21" s="70"/>
    </row>
    <row r="22" spans="1:13" x14ac:dyDescent="0.25">
      <c r="B22" s="72" t="s">
        <v>68</v>
      </c>
      <c r="C22" s="70"/>
      <c r="D22" s="70"/>
      <c r="E22" s="70"/>
      <c r="F22" s="70"/>
      <c r="G22" s="70"/>
      <c r="H22" s="70"/>
      <c r="I22" s="70"/>
      <c r="J22" s="70"/>
      <c r="K22" s="70"/>
      <c r="L22" s="70"/>
      <c r="M22" s="70"/>
    </row>
    <row r="23" spans="1:13" x14ac:dyDescent="0.25">
      <c r="B23" s="72" t="s">
        <v>336</v>
      </c>
      <c r="C23" s="70"/>
      <c r="D23" s="70"/>
      <c r="E23" s="70"/>
      <c r="F23" s="70"/>
      <c r="G23" s="70"/>
      <c r="H23" s="70"/>
      <c r="I23" s="70"/>
      <c r="J23" s="70"/>
      <c r="K23" s="70"/>
      <c r="L23" s="70"/>
      <c r="M23" s="70"/>
    </row>
    <row r="24" spans="1:13" x14ac:dyDescent="0.25">
      <c r="B24" s="70" t="s">
        <v>314</v>
      </c>
      <c r="C24" s="70"/>
      <c r="D24" s="70"/>
      <c r="E24" s="70"/>
      <c r="F24" s="70"/>
      <c r="G24" s="70"/>
      <c r="H24" s="70"/>
      <c r="I24" s="70"/>
      <c r="J24" s="70"/>
      <c r="K24" s="70"/>
      <c r="L24" s="70"/>
      <c r="M24" s="70"/>
    </row>
    <row r="25" spans="1:13" x14ac:dyDescent="0.25">
      <c r="B25" s="70" t="s">
        <v>315</v>
      </c>
      <c r="C25" s="70"/>
      <c r="D25" s="70"/>
      <c r="E25" s="70"/>
      <c r="F25" s="70"/>
      <c r="G25" s="70"/>
      <c r="H25" s="70"/>
      <c r="I25" s="70"/>
      <c r="J25" s="70"/>
      <c r="K25" s="70"/>
      <c r="L25" s="70"/>
      <c r="M25" s="70"/>
    </row>
    <row r="26" spans="1:13" x14ac:dyDescent="0.25">
      <c r="B26" s="70" t="s">
        <v>316</v>
      </c>
      <c r="C26" s="70"/>
      <c r="D26" s="70"/>
      <c r="E26" s="70"/>
      <c r="F26" s="70"/>
      <c r="G26" s="70"/>
      <c r="H26" s="70"/>
      <c r="I26" s="70"/>
      <c r="J26" s="70"/>
      <c r="K26" s="70"/>
      <c r="L26" s="70"/>
      <c r="M26" s="70"/>
    </row>
    <row r="27" spans="1:13" x14ac:dyDescent="0.25">
      <c r="B27" s="70" t="s">
        <v>317</v>
      </c>
      <c r="C27" s="70"/>
      <c r="D27" s="70"/>
      <c r="E27" s="70"/>
      <c r="F27" s="70"/>
      <c r="G27" s="70"/>
      <c r="H27" s="70"/>
      <c r="I27" s="70"/>
      <c r="J27" s="70"/>
      <c r="K27" s="70"/>
      <c r="L27" s="70"/>
      <c r="M27" s="70"/>
    </row>
    <row r="28" spans="1:13" x14ac:dyDescent="0.25">
      <c r="B28" s="72" t="s">
        <v>104</v>
      </c>
      <c r="C28" s="70"/>
      <c r="D28" s="70"/>
      <c r="E28" s="70"/>
      <c r="F28" s="70"/>
      <c r="G28" s="70"/>
      <c r="H28" s="70"/>
      <c r="I28" s="70"/>
      <c r="J28" s="70"/>
      <c r="K28" s="70"/>
      <c r="L28" s="70"/>
      <c r="M28" s="70"/>
    </row>
    <row r="29" spans="1:13" x14ac:dyDescent="0.25">
      <c r="B29" s="70"/>
      <c r="C29" s="70"/>
      <c r="D29" s="70"/>
      <c r="E29" s="70"/>
      <c r="F29" s="70"/>
      <c r="G29" s="70"/>
      <c r="H29" s="70"/>
      <c r="I29" s="70"/>
      <c r="J29" s="70"/>
      <c r="K29" s="70"/>
      <c r="L29" s="70"/>
      <c r="M29" s="70"/>
    </row>
    <row r="30" spans="1:13" x14ac:dyDescent="0.25">
      <c r="B30" s="70"/>
      <c r="C30" s="70"/>
      <c r="D30" s="70"/>
      <c r="E30" s="70"/>
      <c r="F30" s="70"/>
      <c r="G30" s="70"/>
      <c r="H30" s="70"/>
      <c r="I30" s="70"/>
      <c r="J30" s="70"/>
      <c r="K30" s="70"/>
      <c r="L30" s="70"/>
      <c r="M30" s="70"/>
    </row>
    <row r="31" spans="1:13" x14ac:dyDescent="0.25">
      <c r="B31" s="70"/>
      <c r="C31" s="70"/>
      <c r="D31" s="70"/>
      <c r="E31" s="70"/>
      <c r="F31" s="70"/>
      <c r="G31" s="70"/>
      <c r="H31" s="70"/>
      <c r="I31" s="70"/>
      <c r="J31" s="70"/>
      <c r="K31" s="70"/>
      <c r="L31" s="70"/>
      <c r="M31" s="70"/>
    </row>
    <row r="32" spans="1:13" x14ac:dyDescent="0.25">
      <c r="B32" s="70"/>
      <c r="C32" s="70"/>
      <c r="D32" s="70"/>
      <c r="E32" s="70"/>
      <c r="F32" s="70"/>
      <c r="G32" s="70"/>
      <c r="H32" s="70"/>
      <c r="I32" s="70"/>
      <c r="J32" s="70"/>
      <c r="K32" s="70"/>
      <c r="L32" s="70"/>
      <c r="M32" s="70"/>
    </row>
    <row r="33" spans="2:13" x14ac:dyDescent="0.25">
      <c r="B33" s="70"/>
      <c r="C33" s="70"/>
      <c r="D33" s="70"/>
      <c r="E33" s="70"/>
      <c r="F33" s="70"/>
      <c r="G33" s="70"/>
      <c r="H33" s="70"/>
      <c r="I33" s="70"/>
      <c r="J33" s="70"/>
      <c r="K33" s="70"/>
      <c r="L33" s="70"/>
      <c r="M33" s="70"/>
    </row>
    <row r="34" spans="2:13" x14ac:dyDescent="0.25">
      <c r="B34" s="70"/>
      <c r="C34" s="70"/>
      <c r="D34" s="70"/>
      <c r="E34" s="70"/>
      <c r="F34" s="70"/>
      <c r="G34" s="70"/>
      <c r="H34" s="70"/>
      <c r="I34" s="70"/>
      <c r="J34" s="70"/>
      <c r="K34" s="70"/>
      <c r="L34" s="70"/>
      <c r="M34" s="70"/>
    </row>
    <row r="35" spans="2:13" x14ac:dyDescent="0.25">
      <c r="B35" s="70"/>
      <c r="C35" s="70"/>
      <c r="D35" s="70"/>
      <c r="E35" s="70"/>
      <c r="F35" s="70"/>
      <c r="G35" s="70"/>
      <c r="H35" s="70"/>
      <c r="I35" s="70"/>
      <c r="J35" s="70"/>
      <c r="K35" s="70"/>
      <c r="L35" s="70"/>
      <c r="M35" s="70"/>
    </row>
    <row r="36" spans="2:13" x14ac:dyDescent="0.25">
      <c r="B36" s="70"/>
      <c r="C36" s="70"/>
      <c r="D36" s="70"/>
      <c r="E36" s="70"/>
      <c r="F36" s="70"/>
      <c r="G36" s="70"/>
      <c r="H36" s="70"/>
      <c r="I36" s="70"/>
      <c r="J36" s="70"/>
      <c r="K36" s="70"/>
      <c r="L36" s="70"/>
      <c r="M36" s="70"/>
    </row>
    <row r="37" spans="2:13" x14ac:dyDescent="0.25">
      <c r="B37" s="70"/>
      <c r="C37" s="70"/>
      <c r="D37" s="70"/>
      <c r="E37" s="70"/>
      <c r="F37" s="70"/>
      <c r="G37" s="70"/>
      <c r="H37" s="70"/>
      <c r="I37" s="70"/>
      <c r="J37" s="70"/>
      <c r="K37" s="70"/>
      <c r="L37" s="70"/>
      <c r="M37" s="70"/>
    </row>
    <row r="38" spans="2:13" x14ac:dyDescent="0.25">
      <c r="B38" s="70"/>
      <c r="C38" s="70"/>
      <c r="D38" s="70"/>
      <c r="E38" s="70"/>
      <c r="F38" s="70"/>
      <c r="G38" s="70"/>
      <c r="H38" s="70"/>
      <c r="I38" s="70"/>
      <c r="J38" s="70"/>
      <c r="K38" s="70"/>
      <c r="L38" s="70"/>
      <c r="M38" s="70"/>
    </row>
    <row r="39" spans="2:13" x14ac:dyDescent="0.25">
      <c r="B39" s="70"/>
      <c r="C39" s="70"/>
      <c r="D39" s="70"/>
      <c r="E39" s="70"/>
      <c r="F39" s="70"/>
      <c r="G39" s="70"/>
      <c r="H39" s="70"/>
      <c r="I39" s="70"/>
      <c r="J39" s="70"/>
      <c r="K39" s="70"/>
      <c r="L39" s="70"/>
      <c r="M39" s="70"/>
    </row>
  </sheetData>
  <phoneticPr fontId="0" type="noConversion"/>
  <hyperlinks>
    <hyperlink ref="B11" location="'Feed Calculators'!A1" display="Feed Calculator"/>
    <hyperlink ref="B12" location="'Egg collection report'!A1" display="Egg Collection Report"/>
    <hyperlink ref="B13" location="'Egg calculator'!A1" display="Egg Calculator"/>
    <hyperlink ref="B22" r:id="rId1"/>
    <hyperlink ref="B14" location="'Pullet Weights'!A1" display="Pullet grow-out weights"/>
    <hyperlink ref="B17" location="'Housing Scheduler'!A1" display="Chick / Housing / Slaughter Scheduler"/>
    <hyperlink ref="B18" location="'Molt Schedule'!A1" display="Molt Schedule"/>
    <hyperlink ref="B28" r:id="rId2"/>
    <hyperlink ref="B15" location="'Egg profit calc'!A1" display="Egg Production Calculator"/>
    <hyperlink ref="B16" location="'Broiler profit calc'!A1" display="Brolier Production Calculator"/>
    <hyperlink ref="B19" location="'Retail.Wholsale Price list'!A1" display="Chicken - Retail Price List"/>
    <hyperlink ref="B20" location="'Brooder temps'!A1" display="Brooder Temps"/>
    <hyperlink ref="B23" r:id="rId3"/>
  </hyperlinks>
  <pageMargins left="0.7" right="0.7" top="0.75" bottom="0.75" header="0.3" footer="0.3"/>
  <pageSetup orientation="portrait" verticalDpi="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27"/>
  <sheetViews>
    <sheetView workbookViewId="0">
      <selection activeCell="N28" sqref="N28"/>
    </sheetView>
  </sheetViews>
  <sheetFormatPr defaultRowHeight="13.2" x14ac:dyDescent="0.25"/>
  <cols>
    <col min="2" max="2" width="30.44140625" customWidth="1"/>
    <col min="3" max="3" width="10.5546875" customWidth="1"/>
    <col min="5" max="5" width="11.5546875" style="2" bestFit="1" customWidth="1"/>
    <col min="10" max="10" width="2.5546875" customWidth="1"/>
    <col min="14" max="14" width="2.6640625" customWidth="1"/>
  </cols>
  <sheetData>
    <row r="2" spans="1:17" x14ac:dyDescent="0.25">
      <c r="K2" t="s">
        <v>274</v>
      </c>
    </row>
    <row r="3" spans="1:17" x14ac:dyDescent="0.25">
      <c r="K3" t="s">
        <v>275</v>
      </c>
    </row>
    <row r="5" spans="1:17" x14ac:dyDescent="0.25">
      <c r="K5" t="s">
        <v>276</v>
      </c>
    </row>
    <row r="7" spans="1:17" ht="24" customHeight="1" x14ac:dyDescent="0.25">
      <c r="K7" t="s">
        <v>68</v>
      </c>
    </row>
    <row r="8" spans="1:17" ht="24" customHeight="1" x14ac:dyDescent="0.25"/>
    <row r="9" spans="1:17" ht="21" x14ac:dyDescent="0.4">
      <c r="A9" s="14" t="s">
        <v>277</v>
      </c>
      <c r="C9" s="223"/>
      <c r="D9" s="223"/>
      <c r="E9" s="226"/>
      <c r="F9" s="223"/>
      <c r="G9" s="14" t="s">
        <v>278</v>
      </c>
    </row>
    <row r="10" spans="1:17" ht="31.2" x14ac:dyDescent="0.25">
      <c r="A10" s="223" t="s">
        <v>279</v>
      </c>
      <c r="B10" s="223" t="s">
        <v>280</v>
      </c>
      <c r="C10" s="223" t="s">
        <v>281</v>
      </c>
      <c r="D10" s="223" t="s">
        <v>282</v>
      </c>
      <c r="E10" s="226" t="s">
        <v>283</v>
      </c>
      <c r="F10" s="223"/>
      <c r="G10" s="227" t="s">
        <v>284</v>
      </c>
      <c r="H10" s="227" t="s">
        <v>285</v>
      </c>
      <c r="I10" s="227" t="s">
        <v>286</v>
      </c>
      <c r="K10" s="227" t="s">
        <v>287</v>
      </c>
      <c r="L10" s="227" t="s">
        <v>288</v>
      </c>
      <c r="M10" s="227" t="s">
        <v>289</v>
      </c>
      <c r="O10" s="227" t="s">
        <v>290</v>
      </c>
      <c r="P10" s="227" t="s">
        <v>291</v>
      </c>
      <c r="Q10" s="227" t="s">
        <v>292</v>
      </c>
    </row>
    <row r="11" spans="1:17" ht="15" x14ac:dyDescent="0.25">
      <c r="A11" s="223"/>
      <c r="B11" s="223"/>
      <c r="C11" s="223"/>
      <c r="D11" s="223"/>
      <c r="E11" s="228">
        <v>40961</v>
      </c>
      <c r="F11" s="223"/>
      <c r="G11" s="223"/>
      <c r="K11" s="223"/>
      <c r="O11" s="223"/>
    </row>
    <row r="12" spans="1:17" ht="15" x14ac:dyDescent="0.25">
      <c r="A12" s="223" t="s">
        <v>293</v>
      </c>
      <c r="B12" s="223" t="s">
        <v>294</v>
      </c>
      <c r="C12" s="223" t="s">
        <v>295</v>
      </c>
      <c r="D12" s="224">
        <v>4.25</v>
      </c>
      <c r="E12" s="226" t="s">
        <v>296</v>
      </c>
      <c r="F12" s="223"/>
      <c r="G12" s="225">
        <v>0.15</v>
      </c>
      <c r="H12" s="229">
        <f>+$D12-($D12*G12)</f>
        <v>3.6124999999999998</v>
      </c>
      <c r="I12" s="230">
        <v>55</v>
      </c>
      <c r="K12" s="225">
        <v>0.2</v>
      </c>
      <c r="L12" s="229">
        <f>+$D12-($D12*K12)</f>
        <v>3.4</v>
      </c>
      <c r="M12" s="230">
        <v>100</v>
      </c>
      <c r="O12" s="225">
        <v>0.25</v>
      </c>
      <c r="P12" s="229">
        <f>+$D12-($D12*O12)</f>
        <v>3.1875</v>
      </c>
      <c r="Q12" s="230">
        <v>175</v>
      </c>
    </row>
    <row r="13" spans="1:17" ht="15" x14ac:dyDescent="0.25">
      <c r="A13" s="223" t="s">
        <v>293</v>
      </c>
      <c r="B13" s="223" t="s">
        <v>294</v>
      </c>
      <c r="C13" s="223" t="s">
        <v>297</v>
      </c>
      <c r="D13" s="224">
        <v>4.75</v>
      </c>
      <c r="E13" s="226" t="s">
        <v>300</v>
      </c>
      <c r="F13" s="223"/>
      <c r="G13" s="225">
        <f>+G$12</f>
        <v>0.15</v>
      </c>
      <c r="H13" s="229">
        <f>+$D13-($D13*G13)</f>
        <v>4.0374999999999996</v>
      </c>
      <c r="I13" s="230">
        <f>+I$12</f>
        <v>55</v>
      </c>
      <c r="K13" s="225">
        <f>+K$12</f>
        <v>0.2</v>
      </c>
      <c r="L13" s="229">
        <f>+$D13-($D13*K13)</f>
        <v>3.8</v>
      </c>
      <c r="M13" s="230">
        <f>+M$12</f>
        <v>100</v>
      </c>
      <c r="O13" s="225">
        <f>+O$12</f>
        <v>0.25</v>
      </c>
      <c r="P13" s="229">
        <f>+$D13-($D13*O13)</f>
        <v>3.5625</v>
      </c>
      <c r="Q13" s="230">
        <f>+Q$12</f>
        <v>175</v>
      </c>
    </row>
    <row r="14" spans="1:17" ht="15" x14ac:dyDescent="0.25">
      <c r="A14" s="223" t="s">
        <v>293</v>
      </c>
      <c r="B14" s="223" t="s">
        <v>294</v>
      </c>
      <c r="C14" s="223" t="s">
        <v>298</v>
      </c>
      <c r="D14" s="224">
        <v>5.25</v>
      </c>
      <c r="E14" s="226" t="s">
        <v>319</v>
      </c>
      <c r="F14" s="223"/>
      <c r="G14" s="225">
        <f>+G$12</f>
        <v>0.15</v>
      </c>
      <c r="H14" s="229">
        <f>+$D14-($D14*G14)</f>
        <v>4.4625000000000004</v>
      </c>
      <c r="I14" s="230">
        <f>+I$12</f>
        <v>55</v>
      </c>
      <c r="K14" s="225">
        <f>+K$12</f>
        <v>0.2</v>
      </c>
      <c r="L14" s="229">
        <f>+$D14-($D14*K14)</f>
        <v>4.2</v>
      </c>
      <c r="M14" s="230">
        <f>+M$12</f>
        <v>100</v>
      </c>
      <c r="O14" s="225">
        <f>+O$12</f>
        <v>0.25</v>
      </c>
      <c r="P14" s="229">
        <f>+$D14-($D14*O14)</f>
        <v>3.9375</v>
      </c>
      <c r="Q14" s="230">
        <f>+Q$12</f>
        <v>175</v>
      </c>
    </row>
    <row r="15" spans="1:17" ht="15" x14ac:dyDescent="0.25">
      <c r="A15" s="223" t="s">
        <v>293</v>
      </c>
      <c r="B15" s="223" t="s">
        <v>294</v>
      </c>
      <c r="C15" s="223" t="s">
        <v>299</v>
      </c>
      <c r="D15" s="224">
        <v>5.75</v>
      </c>
      <c r="E15" s="226" t="s">
        <v>300</v>
      </c>
      <c r="F15" s="223"/>
      <c r="G15" s="225">
        <f>+G$12</f>
        <v>0.15</v>
      </c>
      <c r="H15" s="229">
        <f>+$D15-($D15*G15)</f>
        <v>4.8875000000000002</v>
      </c>
      <c r="I15" s="230">
        <f>+I$12</f>
        <v>55</v>
      </c>
      <c r="K15" s="225">
        <f>+K$12</f>
        <v>0.2</v>
      </c>
      <c r="L15" s="229">
        <f>+$D15-($D15*K15)</f>
        <v>4.5999999999999996</v>
      </c>
      <c r="M15" s="230">
        <f>+M$12</f>
        <v>100</v>
      </c>
      <c r="O15" s="225">
        <f>+O$12</f>
        <v>0.25</v>
      </c>
      <c r="P15" s="229">
        <f>+$D15-($D15*O15)</f>
        <v>4.3125</v>
      </c>
      <c r="Q15" s="230">
        <f>+Q$12</f>
        <v>175</v>
      </c>
    </row>
    <row r="16" spans="1:17" ht="15" x14ac:dyDescent="0.25">
      <c r="A16" s="223" t="s">
        <v>293</v>
      </c>
      <c r="B16" s="223" t="s">
        <v>294</v>
      </c>
      <c r="C16" s="223" t="s">
        <v>301</v>
      </c>
      <c r="D16" s="224">
        <v>6.25</v>
      </c>
      <c r="E16" s="226" t="s">
        <v>308</v>
      </c>
      <c r="F16" s="223"/>
      <c r="G16" s="225">
        <f>+G$12</f>
        <v>0.15</v>
      </c>
      <c r="H16" s="229">
        <f>+$D16-($D16*G16)</f>
        <v>5.3125</v>
      </c>
      <c r="I16" s="230">
        <f>+I$12</f>
        <v>55</v>
      </c>
      <c r="K16" s="225">
        <f>+K$12</f>
        <v>0.2</v>
      </c>
      <c r="L16" s="229">
        <f>+$D16-($D16*K16)</f>
        <v>5</v>
      </c>
      <c r="M16" s="230">
        <f>+M$12</f>
        <v>100</v>
      </c>
      <c r="O16" s="225">
        <f>+O$12</f>
        <v>0.25</v>
      </c>
      <c r="P16" s="229">
        <f>+$D16-($D16*O16)</f>
        <v>4.6875</v>
      </c>
      <c r="Q16" s="230">
        <f>+Q$12</f>
        <v>175</v>
      </c>
    </row>
    <row r="17" spans="1:17" ht="15" x14ac:dyDescent="0.25">
      <c r="A17" s="223"/>
      <c r="B17" s="223"/>
      <c r="C17" s="223"/>
      <c r="D17" s="223"/>
      <c r="E17" s="226"/>
      <c r="F17" s="223"/>
      <c r="G17" s="225"/>
      <c r="H17" s="229"/>
      <c r="K17" s="225"/>
      <c r="L17" s="229"/>
      <c r="O17" s="225"/>
      <c r="P17" s="229"/>
    </row>
    <row r="18" spans="1:17" ht="15" x14ac:dyDescent="0.25">
      <c r="A18" s="223"/>
      <c r="B18" s="223"/>
      <c r="C18" s="223"/>
      <c r="D18" s="223"/>
      <c r="E18" s="231" t="s">
        <v>283</v>
      </c>
      <c r="F18" s="223"/>
      <c r="G18" s="225"/>
      <c r="H18" s="229"/>
      <c r="K18" s="225"/>
      <c r="L18" s="229"/>
      <c r="O18" s="225"/>
      <c r="P18" s="229"/>
    </row>
    <row r="19" spans="1:17" ht="15" x14ac:dyDescent="0.25">
      <c r="A19" s="223" t="s">
        <v>302</v>
      </c>
      <c r="B19" s="223" t="s">
        <v>307</v>
      </c>
      <c r="C19" s="223" t="s">
        <v>303</v>
      </c>
      <c r="D19" s="224">
        <v>4.99</v>
      </c>
      <c r="E19" s="226" t="s">
        <v>304</v>
      </c>
      <c r="F19" s="232"/>
      <c r="G19" s="225">
        <v>0.1</v>
      </c>
      <c r="H19" s="229">
        <f>+$D19-($D19*G19)</f>
        <v>4.4910000000000005</v>
      </c>
      <c r="I19" s="230">
        <v>75</v>
      </c>
      <c r="K19" s="225">
        <v>0.15</v>
      </c>
      <c r="L19" s="229">
        <f>+$D19-($D19*K19)</f>
        <v>4.2415000000000003</v>
      </c>
      <c r="M19" s="230">
        <v>150</v>
      </c>
      <c r="O19" s="225">
        <v>0.2</v>
      </c>
      <c r="P19" s="229">
        <f>+$D19-($D19*O19)</f>
        <v>3.992</v>
      </c>
      <c r="Q19" s="230">
        <v>300</v>
      </c>
    </row>
    <row r="20" spans="1:17" ht="15" x14ac:dyDescent="0.25">
      <c r="A20" s="223" t="s">
        <v>302</v>
      </c>
      <c r="B20" s="223" t="s">
        <v>305</v>
      </c>
      <c r="C20" s="223" t="s">
        <v>303</v>
      </c>
      <c r="D20" s="224">
        <v>8.99</v>
      </c>
      <c r="E20" s="226" t="s">
        <v>320</v>
      </c>
      <c r="F20" s="232"/>
      <c r="G20" s="225">
        <v>0.1</v>
      </c>
      <c r="H20" s="229">
        <f>+$D20-($D20*G20)</f>
        <v>8.0910000000000011</v>
      </c>
      <c r="I20" s="230">
        <v>75</v>
      </c>
      <c r="K20" s="225">
        <v>0.15</v>
      </c>
      <c r="L20" s="229">
        <f>+$D20-($D20*K20)</f>
        <v>7.6415000000000006</v>
      </c>
      <c r="M20" s="230">
        <v>150</v>
      </c>
      <c r="O20" s="225">
        <v>0.2</v>
      </c>
      <c r="P20" s="229">
        <f>+$D20-($D20*O20)</f>
        <v>7.1920000000000002</v>
      </c>
      <c r="Q20" s="230">
        <v>300</v>
      </c>
    </row>
    <row r="23" spans="1:17" x14ac:dyDescent="0.25">
      <c r="A23" t="s">
        <v>321</v>
      </c>
    </row>
    <row r="24" spans="1:17" x14ac:dyDescent="0.25">
      <c r="A24" t="s">
        <v>306</v>
      </c>
    </row>
    <row r="25" spans="1:17" x14ac:dyDescent="0.25">
      <c r="A25" t="s">
        <v>322</v>
      </c>
    </row>
    <row r="27" spans="1:17" x14ac:dyDescent="0.25">
      <c r="A27" t="s">
        <v>323</v>
      </c>
    </row>
  </sheetData>
  <phoneticPr fontId="0"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3"/>
  <sheetViews>
    <sheetView workbookViewId="0"/>
  </sheetViews>
  <sheetFormatPr defaultRowHeight="13.2" x14ac:dyDescent="0.25"/>
  <cols>
    <col min="1" max="1" width="7.88671875" customWidth="1"/>
    <col min="2" max="2" width="22.88671875" customWidth="1"/>
    <col min="3" max="3" width="15.109375" style="90" customWidth="1"/>
    <col min="4" max="4" width="4.6640625" customWidth="1"/>
  </cols>
  <sheetData>
    <row r="1" spans="1:4" ht="22.8" x14ac:dyDescent="0.4">
      <c r="A1" s="233" t="s">
        <v>271</v>
      </c>
    </row>
    <row r="3" spans="1:4" x14ac:dyDescent="0.25">
      <c r="B3" s="17" t="s">
        <v>326</v>
      </c>
      <c r="C3" s="237">
        <v>95</v>
      </c>
      <c r="D3" t="s">
        <v>272</v>
      </c>
    </row>
    <row r="4" spans="1:4" x14ac:dyDescent="0.25">
      <c r="B4" s="17" t="s">
        <v>327</v>
      </c>
      <c r="C4" s="234">
        <f>+C5*7</f>
        <v>15.555555555555557</v>
      </c>
      <c r="D4" t="s">
        <v>272</v>
      </c>
    </row>
    <row r="5" spans="1:4" x14ac:dyDescent="0.25">
      <c r="B5" s="17" t="s">
        <v>328</v>
      </c>
      <c r="C5" s="234">
        <f>+(C3-C8)/C7</f>
        <v>2.2222222222222223</v>
      </c>
      <c r="D5" t="s">
        <v>272</v>
      </c>
    </row>
    <row r="6" spans="1:4" x14ac:dyDescent="0.25">
      <c r="B6" s="17" t="s">
        <v>329</v>
      </c>
      <c r="C6" s="238">
        <v>41029</v>
      </c>
    </row>
    <row r="7" spans="1:4" x14ac:dyDescent="0.25">
      <c r="B7" s="17" t="s">
        <v>330</v>
      </c>
      <c r="C7" s="237">
        <v>18</v>
      </c>
    </row>
    <row r="8" spans="1:4" x14ac:dyDescent="0.25">
      <c r="B8" s="17" t="s">
        <v>331</v>
      </c>
      <c r="C8" s="237">
        <v>55</v>
      </c>
      <c r="D8" s="15" t="s">
        <v>272</v>
      </c>
    </row>
    <row r="9" spans="1:4" s="81" customFormat="1" ht="27.75" customHeight="1" x14ac:dyDescent="0.25">
      <c r="A9" s="239" t="s">
        <v>273</v>
      </c>
      <c r="B9" s="239" t="s">
        <v>324</v>
      </c>
      <c r="C9" s="239" t="s">
        <v>325</v>
      </c>
    </row>
    <row r="10" spans="1:4" x14ac:dyDescent="0.25">
      <c r="A10">
        <v>1</v>
      </c>
      <c r="B10" s="83">
        <f>+C6+1</f>
        <v>41030</v>
      </c>
      <c r="C10" s="235">
        <f>+C3</f>
        <v>95</v>
      </c>
    </row>
    <row r="11" spans="1:4" x14ac:dyDescent="0.25">
      <c r="A11">
        <v>2</v>
      </c>
      <c r="B11" s="83">
        <f>+B10+1</f>
        <v>41031</v>
      </c>
      <c r="C11" s="235">
        <f t="shared" ref="C11:C27" si="0">IF(A11&gt;C$7,"Pasture",+C10-C$5)</f>
        <v>92.777777777777771</v>
      </c>
    </row>
    <row r="12" spans="1:4" x14ac:dyDescent="0.25">
      <c r="A12">
        <v>3</v>
      </c>
      <c r="B12" s="83">
        <f t="shared" ref="B12:B44" si="1">+B11+1</f>
        <v>41032</v>
      </c>
      <c r="C12" s="235">
        <f t="shared" si="0"/>
        <v>90.555555555555543</v>
      </c>
    </row>
    <row r="13" spans="1:4" x14ac:dyDescent="0.25">
      <c r="A13">
        <v>4</v>
      </c>
      <c r="B13" s="83">
        <f t="shared" si="1"/>
        <v>41033</v>
      </c>
      <c r="C13" s="235">
        <f t="shared" si="0"/>
        <v>88.333333333333314</v>
      </c>
    </row>
    <row r="14" spans="1:4" x14ac:dyDescent="0.25">
      <c r="A14">
        <v>5</v>
      </c>
      <c r="B14" s="83">
        <f t="shared" si="1"/>
        <v>41034</v>
      </c>
      <c r="C14" s="235">
        <f t="shared" si="0"/>
        <v>86.111111111111086</v>
      </c>
    </row>
    <row r="15" spans="1:4" x14ac:dyDescent="0.25">
      <c r="A15">
        <v>6</v>
      </c>
      <c r="B15" s="83">
        <f t="shared" si="1"/>
        <v>41035</v>
      </c>
      <c r="C15" s="235">
        <f t="shared" si="0"/>
        <v>83.888888888888857</v>
      </c>
    </row>
    <row r="16" spans="1:4" x14ac:dyDescent="0.25">
      <c r="A16">
        <v>7</v>
      </c>
      <c r="B16" s="83">
        <f t="shared" si="1"/>
        <v>41036</v>
      </c>
      <c r="C16" s="235">
        <f t="shared" si="0"/>
        <v>81.666666666666629</v>
      </c>
    </row>
    <row r="17" spans="1:3" x14ac:dyDescent="0.25">
      <c r="A17">
        <v>8</v>
      </c>
      <c r="B17" s="83">
        <f t="shared" si="1"/>
        <v>41037</v>
      </c>
      <c r="C17" s="235">
        <f t="shared" si="0"/>
        <v>79.4444444444444</v>
      </c>
    </row>
    <row r="18" spans="1:3" x14ac:dyDescent="0.25">
      <c r="A18">
        <v>9</v>
      </c>
      <c r="B18" s="83">
        <f t="shared" si="1"/>
        <v>41038</v>
      </c>
      <c r="C18" s="235">
        <f t="shared" si="0"/>
        <v>77.222222222222172</v>
      </c>
    </row>
    <row r="19" spans="1:3" x14ac:dyDescent="0.25">
      <c r="A19">
        <v>10</v>
      </c>
      <c r="B19" s="83">
        <f t="shared" si="1"/>
        <v>41039</v>
      </c>
      <c r="C19" s="235">
        <f t="shared" si="0"/>
        <v>74.999999999999943</v>
      </c>
    </row>
    <row r="20" spans="1:3" x14ac:dyDescent="0.25">
      <c r="A20">
        <v>11</v>
      </c>
      <c r="B20" s="83">
        <f t="shared" si="1"/>
        <v>41040</v>
      </c>
      <c r="C20" s="235">
        <f t="shared" si="0"/>
        <v>72.777777777777715</v>
      </c>
    </row>
    <row r="21" spans="1:3" x14ac:dyDescent="0.25">
      <c r="A21">
        <v>12</v>
      </c>
      <c r="B21" s="83">
        <f t="shared" si="1"/>
        <v>41041</v>
      </c>
      <c r="C21" s="235">
        <f t="shared" si="0"/>
        <v>70.555555555555486</v>
      </c>
    </row>
    <row r="22" spans="1:3" x14ac:dyDescent="0.25">
      <c r="A22">
        <v>13</v>
      </c>
      <c r="B22" s="83">
        <f t="shared" si="1"/>
        <v>41042</v>
      </c>
      <c r="C22" s="235">
        <f t="shared" si="0"/>
        <v>68.333333333333258</v>
      </c>
    </row>
    <row r="23" spans="1:3" x14ac:dyDescent="0.25">
      <c r="A23">
        <v>14</v>
      </c>
      <c r="B23" s="83">
        <f t="shared" si="1"/>
        <v>41043</v>
      </c>
      <c r="C23" s="235">
        <f t="shared" si="0"/>
        <v>66.111111111111029</v>
      </c>
    </row>
    <row r="24" spans="1:3" x14ac:dyDescent="0.25">
      <c r="A24">
        <v>15</v>
      </c>
      <c r="B24" s="83">
        <f t="shared" si="1"/>
        <v>41044</v>
      </c>
      <c r="C24" s="235">
        <f t="shared" si="0"/>
        <v>63.888888888888808</v>
      </c>
    </row>
    <row r="25" spans="1:3" x14ac:dyDescent="0.25">
      <c r="A25">
        <v>16</v>
      </c>
      <c r="B25" s="83">
        <f t="shared" si="1"/>
        <v>41045</v>
      </c>
      <c r="C25" s="235">
        <f t="shared" si="0"/>
        <v>61.666666666666586</v>
      </c>
    </row>
    <row r="26" spans="1:3" x14ac:dyDescent="0.25">
      <c r="A26">
        <v>17</v>
      </c>
      <c r="B26" s="83">
        <f t="shared" si="1"/>
        <v>41046</v>
      </c>
      <c r="C26" s="235">
        <f t="shared" si="0"/>
        <v>59.444444444444365</v>
      </c>
    </row>
    <row r="27" spans="1:3" x14ac:dyDescent="0.25">
      <c r="A27">
        <v>18</v>
      </c>
      <c r="B27" s="83">
        <f t="shared" si="1"/>
        <v>41047</v>
      </c>
      <c r="C27" s="235">
        <f t="shared" si="0"/>
        <v>57.222222222222143</v>
      </c>
    </row>
    <row r="28" spans="1:3" x14ac:dyDescent="0.25">
      <c r="A28">
        <v>19</v>
      </c>
      <c r="B28" s="83">
        <f t="shared" si="1"/>
        <v>41048</v>
      </c>
      <c r="C28" s="235" t="str">
        <f>IF(A28&gt;C$7,"Pasture",+C27-C$5)</f>
        <v>Pasture</v>
      </c>
    </row>
    <row r="29" spans="1:3" x14ac:dyDescent="0.25">
      <c r="A29">
        <v>20</v>
      </c>
      <c r="B29" s="83">
        <f t="shared" si="1"/>
        <v>41049</v>
      </c>
      <c r="C29" s="235" t="str">
        <f t="shared" ref="C29:C44" si="2">IF(A29&gt;C$7,"Pasture",+C28-C$5)</f>
        <v>Pasture</v>
      </c>
    </row>
    <row r="30" spans="1:3" x14ac:dyDescent="0.25">
      <c r="A30">
        <v>21</v>
      </c>
      <c r="B30" s="83">
        <f t="shared" si="1"/>
        <v>41050</v>
      </c>
      <c r="C30" s="235" t="str">
        <f t="shared" si="2"/>
        <v>Pasture</v>
      </c>
    </row>
    <row r="31" spans="1:3" x14ac:dyDescent="0.25">
      <c r="A31">
        <v>22</v>
      </c>
      <c r="B31" s="83">
        <f t="shared" si="1"/>
        <v>41051</v>
      </c>
      <c r="C31" s="235" t="str">
        <f t="shared" si="2"/>
        <v>Pasture</v>
      </c>
    </row>
    <row r="32" spans="1:3" x14ac:dyDescent="0.25">
      <c r="A32">
        <v>23</v>
      </c>
      <c r="B32" s="83">
        <f t="shared" si="1"/>
        <v>41052</v>
      </c>
      <c r="C32" s="235" t="str">
        <f t="shared" si="2"/>
        <v>Pasture</v>
      </c>
    </row>
    <row r="33" spans="1:3" x14ac:dyDescent="0.25">
      <c r="A33">
        <v>24</v>
      </c>
      <c r="B33" s="83">
        <f t="shared" si="1"/>
        <v>41053</v>
      </c>
      <c r="C33" s="235" t="str">
        <f t="shared" si="2"/>
        <v>Pasture</v>
      </c>
    </row>
    <row r="34" spans="1:3" x14ac:dyDescent="0.25">
      <c r="A34">
        <v>25</v>
      </c>
      <c r="B34" s="83">
        <f t="shared" si="1"/>
        <v>41054</v>
      </c>
      <c r="C34" s="235" t="str">
        <f t="shared" si="2"/>
        <v>Pasture</v>
      </c>
    </row>
    <row r="35" spans="1:3" x14ac:dyDescent="0.25">
      <c r="A35">
        <v>26</v>
      </c>
      <c r="B35" s="83">
        <f t="shared" si="1"/>
        <v>41055</v>
      </c>
      <c r="C35" s="235" t="str">
        <f t="shared" si="2"/>
        <v>Pasture</v>
      </c>
    </row>
    <row r="36" spans="1:3" x14ac:dyDescent="0.25">
      <c r="A36">
        <v>27</v>
      </c>
      <c r="B36" s="83">
        <f t="shared" si="1"/>
        <v>41056</v>
      </c>
      <c r="C36" s="235" t="str">
        <f t="shared" si="2"/>
        <v>Pasture</v>
      </c>
    </row>
    <row r="37" spans="1:3" x14ac:dyDescent="0.25">
      <c r="A37">
        <v>28</v>
      </c>
      <c r="B37" s="83">
        <f t="shared" si="1"/>
        <v>41057</v>
      </c>
      <c r="C37" s="235" t="str">
        <f t="shared" si="2"/>
        <v>Pasture</v>
      </c>
    </row>
    <row r="38" spans="1:3" x14ac:dyDescent="0.25">
      <c r="A38">
        <v>29</v>
      </c>
      <c r="B38" s="83">
        <f t="shared" si="1"/>
        <v>41058</v>
      </c>
      <c r="C38" s="235" t="str">
        <f t="shared" si="2"/>
        <v>Pasture</v>
      </c>
    </row>
    <row r="39" spans="1:3" x14ac:dyDescent="0.25">
      <c r="A39">
        <v>30</v>
      </c>
      <c r="B39" s="83">
        <f t="shared" si="1"/>
        <v>41059</v>
      </c>
      <c r="C39" s="235" t="str">
        <f t="shared" si="2"/>
        <v>Pasture</v>
      </c>
    </row>
    <row r="40" spans="1:3" x14ac:dyDescent="0.25">
      <c r="A40">
        <v>31</v>
      </c>
      <c r="B40" s="83">
        <f t="shared" si="1"/>
        <v>41060</v>
      </c>
      <c r="C40" s="235" t="str">
        <f t="shared" si="2"/>
        <v>Pasture</v>
      </c>
    </row>
    <row r="41" spans="1:3" x14ac:dyDescent="0.25">
      <c r="A41">
        <v>32</v>
      </c>
      <c r="B41" s="83">
        <f t="shared" si="1"/>
        <v>41061</v>
      </c>
      <c r="C41" s="235" t="str">
        <f t="shared" si="2"/>
        <v>Pasture</v>
      </c>
    </row>
    <row r="42" spans="1:3" x14ac:dyDescent="0.25">
      <c r="A42">
        <v>33</v>
      </c>
      <c r="B42" s="83">
        <f t="shared" si="1"/>
        <v>41062</v>
      </c>
      <c r="C42" s="235" t="str">
        <f t="shared" si="2"/>
        <v>Pasture</v>
      </c>
    </row>
    <row r="43" spans="1:3" x14ac:dyDescent="0.25">
      <c r="A43">
        <v>34</v>
      </c>
      <c r="B43" s="83">
        <f t="shared" si="1"/>
        <v>41063</v>
      </c>
      <c r="C43" s="235" t="str">
        <f t="shared" si="2"/>
        <v>Pasture</v>
      </c>
    </row>
    <row r="44" spans="1:3" x14ac:dyDescent="0.25">
      <c r="A44">
        <v>35</v>
      </c>
      <c r="B44" s="83">
        <f t="shared" si="1"/>
        <v>41064</v>
      </c>
      <c r="C44" s="235" t="str">
        <f t="shared" si="2"/>
        <v>Pasture</v>
      </c>
    </row>
    <row r="45" spans="1:3" x14ac:dyDescent="0.25">
      <c r="B45" s="83"/>
      <c r="C45" s="235"/>
    </row>
    <row r="46" spans="1:3" x14ac:dyDescent="0.25">
      <c r="B46" s="83"/>
      <c r="C46" s="235"/>
    </row>
    <row r="47" spans="1:3" x14ac:dyDescent="0.25">
      <c r="B47" s="83"/>
      <c r="C47" s="235"/>
    </row>
    <row r="48" spans="1:3" x14ac:dyDescent="0.25">
      <c r="B48" s="83"/>
      <c r="C48" s="235"/>
    </row>
    <row r="49" spans="2:3" x14ac:dyDescent="0.25">
      <c r="B49" s="83"/>
      <c r="C49" s="235"/>
    </row>
    <row r="50" spans="2:3" x14ac:dyDescent="0.25">
      <c r="B50" s="83"/>
      <c r="C50" s="235"/>
    </row>
    <row r="51" spans="2:3" x14ac:dyDescent="0.25">
      <c r="B51" s="83"/>
      <c r="C51" s="235"/>
    </row>
    <row r="52" spans="2:3" x14ac:dyDescent="0.25">
      <c r="B52" s="83"/>
      <c r="C52" s="235"/>
    </row>
    <row r="53" spans="2:3" x14ac:dyDescent="0.25">
      <c r="B53" s="83"/>
      <c r="C53" s="235"/>
    </row>
  </sheetData>
  <phoneticPr fontId="0" type="noConversion"/>
  <pageMargins left="0.7" right="0.7" top="0.75" bottom="0.75" header="0.3" footer="0.3"/>
  <pageSetup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9"/>
  <sheetViews>
    <sheetView workbookViewId="0"/>
  </sheetViews>
  <sheetFormatPr defaultRowHeight="13.2" x14ac:dyDescent="0.25"/>
  <cols>
    <col min="1" max="1" width="33.5546875" customWidth="1"/>
    <col min="2" max="2" width="10.33203125" bestFit="1" customWidth="1"/>
    <col min="3" max="3" width="8.5546875" customWidth="1"/>
    <col min="4" max="5" width="12.33203125" style="2" customWidth="1"/>
    <col min="6" max="6" width="9.109375" style="2"/>
    <col min="7" max="7" width="8.6640625" style="2" customWidth="1"/>
    <col min="13" max="13" width="10.33203125" bestFit="1" customWidth="1"/>
  </cols>
  <sheetData>
    <row r="1" spans="1:13" ht="21" x14ac:dyDescent="0.4">
      <c r="A1" s="14" t="s">
        <v>29</v>
      </c>
    </row>
    <row r="2" spans="1:13" x14ac:dyDescent="0.25">
      <c r="L2" s="17" t="s">
        <v>22</v>
      </c>
      <c r="M2" s="97">
        <v>2.2046000000000001</v>
      </c>
    </row>
    <row r="3" spans="1:13" s="3" customFormat="1" ht="30.6" x14ac:dyDescent="0.2">
      <c r="B3" s="3" t="s">
        <v>9</v>
      </c>
      <c r="C3" s="3" t="s">
        <v>10</v>
      </c>
      <c r="D3" s="3" t="s">
        <v>8</v>
      </c>
      <c r="E3" s="3" t="s">
        <v>16</v>
      </c>
      <c r="F3" s="3" t="s">
        <v>19</v>
      </c>
      <c r="G3" s="3" t="s">
        <v>18</v>
      </c>
      <c r="H3" s="3" t="s">
        <v>6</v>
      </c>
      <c r="I3" s="3" t="s">
        <v>7</v>
      </c>
      <c r="J3" s="3" t="s">
        <v>15</v>
      </c>
      <c r="L3" s="3" t="s">
        <v>23</v>
      </c>
      <c r="M3" s="3" t="s">
        <v>24</v>
      </c>
    </row>
    <row r="4" spans="1:13" s="2" customFormat="1" ht="15.6" x14ac:dyDescent="0.3">
      <c r="A4" s="22" t="s">
        <v>13</v>
      </c>
      <c r="D4" s="2">
        <v>2000</v>
      </c>
      <c r="E4" s="12">
        <f>+D4/$M$2</f>
        <v>907.19404880703974</v>
      </c>
      <c r="F4" s="12"/>
      <c r="G4" s="12"/>
      <c r="H4" s="2" t="s">
        <v>14</v>
      </c>
      <c r="I4" s="5">
        <v>1500</v>
      </c>
      <c r="J4" s="12">
        <f>+I4/$M$2</f>
        <v>680.39553660527986</v>
      </c>
    </row>
    <row r="6" spans="1:13" x14ac:dyDescent="0.25">
      <c r="A6" t="s">
        <v>0</v>
      </c>
      <c r="B6" s="10">
        <v>400</v>
      </c>
      <c r="C6" s="8">
        <f>+B6/D$4</f>
        <v>0.2</v>
      </c>
      <c r="D6" s="2">
        <v>1065</v>
      </c>
      <c r="E6" s="12">
        <f t="shared" ref="E6:E13" si="0">+D6/$M$2</f>
        <v>483.08083098974868</v>
      </c>
      <c r="F6" s="12">
        <f t="shared" ref="F6:G8" si="1">+D6*(1-$H$14)</f>
        <v>1043.7</v>
      </c>
      <c r="G6" s="12">
        <f t="shared" si="1"/>
        <v>473.41921436995369</v>
      </c>
      <c r="H6" s="1">
        <f t="shared" ref="H6:H13" si="2">1-((D$4-F6)/D$4)</f>
        <v>0.52185000000000004</v>
      </c>
      <c r="I6" s="4">
        <f t="shared" ref="I6:I12" si="3">+I$4*H6</f>
        <v>782.77500000000009</v>
      </c>
      <c r="J6" s="12">
        <f t="shared" ref="J6:J14" si="4">+I6/$M$2</f>
        <v>355.0644107774653</v>
      </c>
      <c r="L6" s="18">
        <f>+F6*C6</f>
        <v>208.74</v>
      </c>
      <c r="M6" s="18">
        <f t="shared" ref="M6:M14" si="5">+I6*C6</f>
        <v>156.55500000000004</v>
      </c>
    </row>
    <row r="7" spans="1:13" x14ac:dyDescent="0.25">
      <c r="A7" t="s">
        <v>1</v>
      </c>
      <c r="B7" s="10">
        <v>820</v>
      </c>
      <c r="C7" s="8">
        <f>+B7/D$4</f>
        <v>0.41</v>
      </c>
      <c r="D7" s="2">
        <v>650</v>
      </c>
      <c r="E7" s="12">
        <f t="shared" si="0"/>
        <v>294.83806586228792</v>
      </c>
      <c r="F7" s="12">
        <f t="shared" si="1"/>
        <v>637</v>
      </c>
      <c r="G7" s="12">
        <f t="shared" si="1"/>
        <v>288.94130454504216</v>
      </c>
      <c r="H7" s="1">
        <f t="shared" si="2"/>
        <v>0.31850000000000001</v>
      </c>
      <c r="I7" s="4">
        <f t="shared" si="3"/>
        <v>477.75</v>
      </c>
      <c r="J7" s="12">
        <f t="shared" si="4"/>
        <v>216.70597840878162</v>
      </c>
      <c r="L7" s="18">
        <f t="shared" ref="L7:L14" si="6">+F7*C7</f>
        <v>261.16999999999996</v>
      </c>
      <c r="M7" s="18">
        <f t="shared" si="5"/>
        <v>195.8775</v>
      </c>
    </row>
    <row r="8" spans="1:13" x14ac:dyDescent="0.25">
      <c r="A8" t="s">
        <v>2</v>
      </c>
      <c r="B8" s="10">
        <v>370</v>
      </c>
      <c r="C8" s="8">
        <f>+B8/D$4</f>
        <v>0.185</v>
      </c>
      <c r="D8" s="2">
        <v>100</v>
      </c>
      <c r="E8" s="12">
        <f t="shared" si="0"/>
        <v>45.359702440351988</v>
      </c>
      <c r="F8" s="12">
        <f t="shared" si="1"/>
        <v>98</v>
      </c>
      <c r="G8" s="12">
        <f t="shared" si="1"/>
        <v>44.452508391544946</v>
      </c>
      <c r="H8" s="1">
        <f t="shared" si="2"/>
        <v>4.9000000000000044E-2</v>
      </c>
      <c r="I8" s="4">
        <f t="shared" si="3"/>
        <v>73.500000000000071</v>
      </c>
      <c r="J8" s="12">
        <f t="shared" si="4"/>
        <v>33.339381293658747</v>
      </c>
      <c r="L8" s="18">
        <f t="shared" si="6"/>
        <v>18.13</v>
      </c>
      <c r="M8" s="18">
        <f t="shared" si="5"/>
        <v>13.597500000000013</v>
      </c>
    </row>
    <row r="9" spans="1:13" x14ac:dyDescent="0.25">
      <c r="A9" t="s">
        <v>3</v>
      </c>
      <c r="B9" s="7">
        <f t="shared" ref="B9:B14" si="7">+C9*D$4</f>
        <v>1800</v>
      </c>
      <c r="C9" s="9">
        <v>0.9</v>
      </c>
      <c r="D9" s="2">
        <v>60</v>
      </c>
      <c r="E9" s="12">
        <f t="shared" si="0"/>
        <v>27.215821464211192</v>
      </c>
      <c r="F9" s="12">
        <f t="shared" ref="F9:G12" si="8">+D9*(1-$H$14)</f>
        <v>58.8</v>
      </c>
      <c r="G9" s="12">
        <f t="shared" si="8"/>
        <v>26.67150503492697</v>
      </c>
      <c r="H9" s="1">
        <f t="shared" si="2"/>
        <v>2.9399999999999982E-2</v>
      </c>
      <c r="I9" s="4">
        <f t="shared" si="3"/>
        <v>44.099999999999973</v>
      </c>
      <c r="J9" s="12">
        <f t="shared" si="4"/>
        <v>20.003628776195214</v>
      </c>
      <c r="L9" s="18">
        <f t="shared" si="6"/>
        <v>52.92</v>
      </c>
      <c r="M9" s="18">
        <f t="shared" si="5"/>
        <v>39.689999999999976</v>
      </c>
    </row>
    <row r="10" spans="1:13" x14ac:dyDescent="0.25">
      <c r="A10" s="15" t="s">
        <v>25</v>
      </c>
      <c r="B10" s="7">
        <f t="shared" si="7"/>
        <v>2280</v>
      </c>
      <c r="C10" s="19">
        <v>1.1399999999999999</v>
      </c>
      <c r="D10" s="2">
        <v>75</v>
      </c>
      <c r="E10" s="12">
        <f t="shared" si="0"/>
        <v>34.019776830263993</v>
      </c>
      <c r="F10" s="12">
        <f>+D10*(1-$H$14)</f>
        <v>73.5</v>
      </c>
      <c r="G10" s="12">
        <f>+E10*(1-$H$14)</f>
        <v>33.339381293658711</v>
      </c>
      <c r="H10" s="1">
        <f t="shared" si="2"/>
        <v>3.6749999999999949E-2</v>
      </c>
      <c r="I10" s="4">
        <f>+I$4*H10</f>
        <v>55.124999999999922</v>
      </c>
      <c r="J10" s="12">
        <f t="shared" si="4"/>
        <v>25.004535970244</v>
      </c>
      <c r="L10" s="18">
        <f>+F10*C10</f>
        <v>83.789999999999992</v>
      </c>
      <c r="M10" s="18">
        <f t="shared" si="5"/>
        <v>62.842499999999909</v>
      </c>
    </row>
    <row r="11" spans="1:13" x14ac:dyDescent="0.25">
      <c r="A11" t="s">
        <v>4</v>
      </c>
      <c r="B11" s="7">
        <f t="shared" si="7"/>
        <v>940</v>
      </c>
      <c r="C11" s="9">
        <v>0.47</v>
      </c>
      <c r="E11" s="12">
        <f t="shared" si="0"/>
        <v>0</v>
      </c>
      <c r="F11" s="12">
        <f t="shared" si="8"/>
        <v>0</v>
      </c>
      <c r="G11" s="12">
        <f t="shared" si="8"/>
        <v>0</v>
      </c>
      <c r="H11" s="1">
        <f t="shared" si="2"/>
        <v>0</v>
      </c>
      <c r="I11" s="4">
        <f t="shared" si="3"/>
        <v>0</v>
      </c>
      <c r="J11" s="12">
        <f t="shared" si="4"/>
        <v>0</v>
      </c>
      <c r="L11" s="18">
        <f t="shared" si="6"/>
        <v>0</v>
      </c>
      <c r="M11" s="18">
        <f t="shared" si="5"/>
        <v>0</v>
      </c>
    </row>
    <row r="12" spans="1:13" x14ac:dyDescent="0.25">
      <c r="A12" t="s">
        <v>5</v>
      </c>
      <c r="B12" s="7">
        <f t="shared" si="7"/>
        <v>560</v>
      </c>
      <c r="C12" s="9">
        <v>0.28000000000000003</v>
      </c>
      <c r="D12" s="2">
        <v>25</v>
      </c>
      <c r="E12" s="12">
        <f t="shared" si="0"/>
        <v>11.339925610087997</v>
      </c>
      <c r="F12" s="12">
        <f t="shared" si="8"/>
        <v>24.5</v>
      </c>
      <c r="G12" s="12">
        <f t="shared" si="8"/>
        <v>11.113127097886236</v>
      </c>
      <c r="H12" s="1">
        <f t="shared" si="2"/>
        <v>1.2249999999999983E-2</v>
      </c>
      <c r="I12" s="4">
        <f t="shared" si="3"/>
        <v>18.374999999999975</v>
      </c>
      <c r="J12" s="12">
        <f t="shared" si="4"/>
        <v>8.3348453234146671</v>
      </c>
      <c r="L12" s="18">
        <f t="shared" si="6"/>
        <v>6.86</v>
      </c>
      <c r="M12" s="18">
        <f t="shared" si="5"/>
        <v>5.1449999999999934</v>
      </c>
    </row>
    <row r="13" spans="1:13" x14ac:dyDescent="0.25">
      <c r="A13" s="15" t="s">
        <v>26</v>
      </c>
      <c r="B13" s="7">
        <f t="shared" si="7"/>
        <v>1080</v>
      </c>
      <c r="C13" s="9">
        <v>0.54</v>
      </c>
      <c r="D13" s="2">
        <v>25</v>
      </c>
      <c r="E13" s="12">
        <f t="shared" si="0"/>
        <v>11.339925610087997</v>
      </c>
      <c r="F13" s="12">
        <f>+D13*(1-$H$14)</f>
        <v>24.5</v>
      </c>
      <c r="G13" s="12">
        <f>+E13*(1-$H$14)</f>
        <v>11.113127097886236</v>
      </c>
      <c r="H13" s="1">
        <f t="shared" si="2"/>
        <v>1.2249999999999983E-2</v>
      </c>
      <c r="I13" s="4">
        <f>+I$4*H13</f>
        <v>18.374999999999975</v>
      </c>
      <c r="J13" s="12">
        <f t="shared" si="4"/>
        <v>8.3348453234146671</v>
      </c>
      <c r="L13" s="18">
        <f>+F13*C13</f>
        <v>13.23</v>
      </c>
      <c r="M13" s="18">
        <f t="shared" si="5"/>
        <v>9.922499999999987</v>
      </c>
    </row>
    <row r="14" spans="1:13" x14ac:dyDescent="0.25">
      <c r="A14" s="15" t="s">
        <v>17</v>
      </c>
      <c r="B14" s="7">
        <f t="shared" si="7"/>
        <v>1520</v>
      </c>
      <c r="C14" s="19">
        <v>0.76</v>
      </c>
      <c r="E14" s="12"/>
      <c r="F14" s="12">
        <f>+D4*H14</f>
        <v>40</v>
      </c>
      <c r="G14" s="12">
        <f>+F14/M$2</f>
        <v>18.143880976140796</v>
      </c>
      <c r="H14" s="16">
        <v>0.02</v>
      </c>
      <c r="I14" s="4">
        <f>+I$4*H14</f>
        <v>30</v>
      </c>
      <c r="J14" s="12">
        <f t="shared" si="4"/>
        <v>13.607910732105596</v>
      </c>
      <c r="L14" s="18">
        <f t="shared" si="6"/>
        <v>30.4</v>
      </c>
      <c r="M14" s="18">
        <f t="shared" si="5"/>
        <v>22.8</v>
      </c>
    </row>
    <row r="15" spans="1:13" x14ac:dyDescent="0.25">
      <c r="A15" s="15" t="s">
        <v>27</v>
      </c>
      <c r="B15" s="20">
        <v>75</v>
      </c>
      <c r="C15" s="8">
        <f>+B15/D$4</f>
        <v>3.7499999999999999E-2</v>
      </c>
      <c r="E15" s="12"/>
      <c r="F15" s="12"/>
      <c r="G15" s="12"/>
      <c r="H15" s="21"/>
      <c r="I15" s="4"/>
      <c r="J15" s="12"/>
      <c r="L15" s="18">
        <f>+C15*D4</f>
        <v>75</v>
      </c>
      <c r="M15" s="18">
        <f>+C15*I4</f>
        <v>56.25</v>
      </c>
    </row>
    <row r="16" spans="1:13" x14ac:dyDescent="0.25">
      <c r="C16" s="8"/>
      <c r="H16" s="6"/>
    </row>
    <row r="17" spans="1:13" x14ac:dyDescent="0.25">
      <c r="C17" s="8"/>
      <c r="D17" s="2">
        <f>SUM(D6:D16)</f>
        <v>2000</v>
      </c>
      <c r="E17" s="12">
        <f>+D17/$M$2</f>
        <v>907.19404880703974</v>
      </c>
      <c r="F17" s="12">
        <f>SUM(F6:F16)</f>
        <v>2000</v>
      </c>
      <c r="G17" s="12">
        <f>SUM(G6:G16)</f>
        <v>907.19404880703985</v>
      </c>
      <c r="H17" s="6">
        <f>SUM(H6:H14)</f>
        <v>1</v>
      </c>
      <c r="I17" s="4">
        <f>SUM(I6:I14)</f>
        <v>1500</v>
      </c>
      <c r="J17" s="12">
        <f>+I17/$M$2</f>
        <v>680.39553660527986</v>
      </c>
      <c r="L17" s="18">
        <f>SUM(L6:L16)</f>
        <v>750.2399999999999</v>
      </c>
      <c r="M17" s="18">
        <f>SUM(M6:M16)</f>
        <v>562.67999999999995</v>
      </c>
    </row>
    <row r="18" spans="1:13" x14ac:dyDescent="0.25">
      <c r="C18" s="8"/>
      <c r="H18" s="6"/>
      <c r="I18" s="4"/>
    </row>
    <row r="19" spans="1:13" x14ac:dyDescent="0.25">
      <c r="B19" s="23" t="s">
        <v>21</v>
      </c>
      <c r="C19" s="13" t="s">
        <v>20</v>
      </c>
      <c r="D19" s="25">
        <f>+L17</f>
        <v>750.2399999999999</v>
      </c>
      <c r="E19" s="26" t="s">
        <v>12</v>
      </c>
      <c r="F19" s="24">
        <f>+D19/2000</f>
        <v>0.37511999999999995</v>
      </c>
      <c r="G19" s="11"/>
      <c r="I19" s="4"/>
    </row>
    <row r="20" spans="1:13" x14ac:dyDescent="0.25">
      <c r="B20" s="8"/>
      <c r="E20" s="8"/>
      <c r="F20" s="8"/>
      <c r="G20" s="8"/>
      <c r="I20" s="4"/>
    </row>
    <row r="21" spans="1:13" x14ac:dyDescent="0.25">
      <c r="C21" s="8"/>
      <c r="H21" s="6"/>
      <c r="I21" s="4"/>
    </row>
    <row r="22" spans="1:13" ht="31.2" x14ac:dyDescent="0.25">
      <c r="A22" s="3"/>
      <c r="B22" s="3" t="s">
        <v>9</v>
      </c>
      <c r="C22" s="3" t="s">
        <v>10</v>
      </c>
      <c r="D22" s="3" t="s">
        <v>8</v>
      </c>
      <c r="E22" s="3" t="s">
        <v>16</v>
      </c>
      <c r="F22" s="3" t="s">
        <v>19</v>
      </c>
      <c r="G22" s="3" t="s">
        <v>18</v>
      </c>
      <c r="H22" s="3" t="s">
        <v>6</v>
      </c>
      <c r="I22" s="3" t="s">
        <v>7</v>
      </c>
      <c r="J22" s="3" t="s">
        <v>15</v>
      </c>
      <c r="K22" s="3"/>
      <c r="L22" s="3" t="s">
        <v>23</v>
      </c>
      <c r="M22" s="3" t="s">
        <v>24</v>
      </c>
    </row>
    <row r="23" spans="1:13" s="3" customFormat="1" ht="15.6" x14ac:dyDescent="0.3">
      <c r="A23" s="22" t="s">
        <v>11</v>
      </c>
      <c r="B23" s="2"/>
      <c r="C23" s="2"/>
      <c r="D23" s="2">
        <v>2000</v>
      </c>
      <c r="E23" s="12">
        <f>+D23/$M$2</f>
        <v>907.19404880703974</v>
      </c>
      <c r="F23" s="12"/>
      <c r="G23" s="12"/>
      <c r="H23" s="2" t="s">
        <v>14</v>
      </c>
      <c r="I23" s="5">
        <v>1200</v>
      </c>
      <c r="J23" s="12">
        <f>+I23/$M$2</f>
        <v>544.31642928422389</v>
      </c>
      <c r="K23" s="2"/>
      <c r="L23" s="2"/>
      <c r="M23" s="2"/>
    </row>
    <row r="25" spans="1:13" x14ac:dyDescent="0.25">
      <c r="A25" t="s">
        <v>0</v>
      </c>
      <c r="B25" s="10">
        <v>450</v>
      </c>
      <c r="C25" s="8">
        <f>+B25/D$4</f>
        <v>0.22500000000000001</v>
      </c>
      <c r="D25" s="2">
        <v>965</v>
      </c>
      <c r="E25" s="12">
        <f t="shared" ref="E25:E33" si="9">+D25/$M$2</f>
        <v>437.72112854939667</v>
      </c>
      <c r="F25" s="12">
        <f>+D25*(1-$H$34)</f>
        <v>945.69999999999993</v>
      </c>
      <c r="G25" s="12">
        <f>+E25*(1-$H$14)</f>
        <v>428.96670597840875</v>
      </c>
      <c r="H25" s="1">
        <f>1-((D$23-F25)/D$23)</f>
        <v>0.47284999999999988</v>
      </c>
      <c r="I25" s="4">
        <f>+I$4*H25</f>
        <v>709.27499999999986</v>
      </c>
      <c r="J25" s="12">
        <f t="shared" ref="J25:J34" si="10">+I25/$M$2</f>
        <v>321.72502948380651</v>
      </c>
      <c r="L25" s="18">
        <f>+F25*C25</f>
        <v>212.7825</v>
      </c>
      <c r="M25" s="18">
        <f t="shared" ref="M25:M34" si="11">+I25*C25</f>
        <v>159.58687499999996</v>
      </c>
    </row>
    <row r="26" spans="1:13" x14ac:dyDescent="0.25">
      <c r="A26" t="s">
        <v>1</v>
      </c>
      <c r="B26" s="10">
        <v>870</v>
      </c>
      <c r="C26" s="8">
        <f>+B26/D$4</f>
        <v>0.435</v>
      </c>
      <c r="D26" s="2">
        <v>530</v>
      </c>
      <c r="E26" s="12">
        <f t="shared" si="9"/>
        <v>240.40642293386554</v>
      </c>
      <c r="F26" s="12">
        <f t="shared" ref="F26:F33" si="12">+D26*(1-$H$34)</f>
        <v>519.4</v>
      </c>
      <c r="G26" s="12">
        <f>+E26*(1-$H$14)</f>
        <v>235.59829447518823</v>
      </c>
      <c r="H26" s="1">
        <f t="shared" ref="H26:H33" si="13">1-((D$23-F26)/D$23)</f>
        <v>0.25970000000000004</v>
      </c>
      <c r="I26" s="4">
        <f>+I$4*H26</f>
        <v>389.55000000000007</v>
      </c>
      <c r="J26" s="12">
        <f t="shared" si="10"/>
        <v>176.69872085639119</v>
      </c>
      <c r="L26" s="18">
        <f t="shared" ref="L26:L34" si="14">+F26*C26</f>
        <v>225.93899999999999</v>
      </c>
      <c r="M26" s="18">
        <f t="shared" si="11"/>
        <v>169.45425000000003</v>
      </c>
    </row>
    <row r="27" spans="1:13" x14ac:dyDescent="0.25">
      <c r="A27" t="s">
        <v>2</v>
      </c>
      <c r="B27" s="10">
        <v>440</v>
      </c>
      <c r="C27" s="8">
        <f>+B27/D$4</f>
        <v>0.22</v>
      </c>
      <c r="D27" s="2">
        <v>155</v>
      </c>
      <c r="E27" s="12">
        <f t="shared" si="9"/>
        <v>70.307538782545578</v>
      </c>
      <c r="F27" s="12">
        <f t="shared" si="12"/>
        <v>151.9</v>
      </c>
      <c r="G27" s="12">
        <f>+E27*(1-$H$14)</f>
        <v>68.901388006894663</v>
      </c>
      <c r="H27" s="1">
        <f t="shared" si="13"/>
        <v>7.5950000000000073E-2</v>
      </c>
      <c r="I27" s="4">
        <f>+I$4*H27</f>
        <v>113.92500000000011</v>
      </c>
      <c r="J27" s="12">
        <f t="shared" si="10"/>
        <v>51.676041005171051</v>
      </c>
      <c r="L27" s="18">
        <f t="shared" si="14"/>
        <v>33.417999999999999</v>
      </c>
      <c r="M27" s="18">
        <f t="shared" si="11"/>
        <v>25.063500000000026</v>
      </c>
    </row>
    <row r="28" spans="1:13" x14ac:dyDescent="0.25">
      <c r="A28" t="s">
        <v>3</v>
      </c>
      <c r="B28" s="7">
        <f t="shared" ref="B28:B34" si="15">+C28*D$4</f>
        <v>1800</v>
      </c>
      <c r="C28" s="9">
        <v>0.9</v>
      </c>
      <c r="D28" s="2">
        <v>61</v>
      </c>
      <c r="E28" s="12">
        <f t="shared" si="9"/>
        <v>27.669418488614713</v>
      </c>
      <c r="F28" s="12">
        <f t="shared" si="12"/>
        <v>59.78</v>
      </c>
      <c r="G28" s="12">
        <f t="shared" ref="G28:G33" si="16">+E28*(1-$H$14)</f>
        <v>27.116030118842417</v>
      </c>
      <c r="H28" s="1">
        <f t="shared" si="13"/>
        <v>2.9889999999999972E-2</v>
      </c>
      <c r="I28" s="4">
        <f>+I$4*H28</f>
        <v>44.834999999999958</v>
      </c>
      <c r="J28" s="12">
        <f t="shared" si="10"/>
        <v>20.337022589131795</v>
      </c>
      <c r="L28" s="18">
        <f t="shared" si="14"/>
        <v>53.802</v>
      </c>
      <c r="M28" s="18">
        <f t="shared" si="11"/>
        <v>40.351499999999966</v>
      </c>
    </row>
    <row r="29" spans="1:13" x14ac:dyDescent="0.25">
      <c r="A29" s="15" t="s">
        <v>25</v>
      </c>
      <c r="B29" s="7">
        <f t="shared" si="15"/>
        <v>2280</v>
      </c>
      <c r="C29" s="19">
        <v>1.1399999999999999</v>
      </c>
      <c r="E29" s="12">
        <f t="shared" si="9"/>
        <v>0</v>
      </c>
      <c r="F29" s="12">
        <f t="shared" si="12"/>
        <v>0</v>
      </c>
      <c r="G29" s="12">
        <f t="shared" si="16"/>
        <v>0</v>
      </c>
      <c r="H29" s="1">
        <f t="shared" si="13"/>
        <v>0</v>
      </c>
      <c r="I29" s="4">
        <f t="shared" ref="I29:I34" si="17">+I$4*H29</f>
        <v>0</v>
      </c>
      <c r="J29" s="12">
        <f t="shared" si="10"/>
        <v>0</v>
      </c>
      <c r="L29" s="18">
        <f t="shared" si="14"/>
        <v>0</v>
      </c>
      <c r="M29" s="18">
        <f t="shared" si="11"/>
        <v>0</v>
      </c>
    </row>
    <row r="30" spans="1:13" x14ac:dyDescent="0.25">
      <c r="A30" t="s">
        <v>4</v>
      </c>
      <c r="B30" s="7">
        <f t="shared" si="15"/>
        <v>940</v>
      </c>
      <c r="C30" s="9">
        <v>0.47</v>
      </c>
      <c r="E30" s="12">
        <f t="shared" si="9"/>
        <v>0</v>
      </c>
      <c r="F30" s="12">
        <f t="shared" si="12"/>
        <v>0</v>
      </c>
      <c r="G30" s="12">
        <f t="shared" si="16"/>
        <v>0</v>
      </c>
      <c r="H30" s="1">
        <f t="shared" si="13"/>
        <v>0</v>
      </c>
      <c r="I30" s="4">
        <f t="shared" si="17"/>
        <v>0</v>
      </c>
      <c r="J30" s="12">
        <f t="shared" si="10"/>
        <v>0</v>
      </c>
      <c r="L30" s="18">
        <f t="shared" si="14"/>
        <v>0</v>
      </c>
      <c r="M30" s="18">
        <f t="shared" si="11"/>
        <v>0</v>
      </c>
    </row>
    <row r="31" spans="1:13" x14ac:dyDescent="0.25">
      <c r="A31" s="15" t="s">
        <v>28</v>
      </c>
      <c r="B31" s="7">
        <f t="shared" si="15"/>
        <v>940</v>
      </c>
      <c r="C31" s="9">
        <v>0.47</v>
      </c>
      <c r="D31" s="2">
        <v>145</v>
      </c>
      <c r="E31" s="12">
        <f t="shared" si="9"/>
        <v>65.77156853851038</v>
      </c>
      <c r="F31" s="12">
        <f t="shared" si="12"/>
        <v>142.1</v>
      </c>
      <c r="G31" s="12">
        <f>+E31*(1-$H$14)</f>
        <v>64.456137167740167</v>
      </c>
      <c r="H31" s="1">
        <f t="shared" si="13"/>
        <v>7.1049999999999947E-2</v>
      </c>
      <c r="I31" s="4">
        <f t="shared" si="17"/>
        <v>106.57499999999992</v>
      </c>
      <c r="J31" s="12">
        <f t="shared" si="10"/>
        <v>48.342102875805097</v>
      </c>
      <c r="L31" s="18">
        <f>+F31*C31</f>
        <v>66.786999999999992</v>
      </c>
      <c r="M31" s="18">
        <f t="shared" si="11"/>
        <v>50.090249999999962</v>
      </c>
    </row>
    <row r="32" spans="1:13" x14ac:dyDescent="0.25">
      <c r="A32" t="s">
        <v>5</v>
      </c>
      <c r="B32" s="7">
        <f t="shared" si="15"/>
        <v>560</v>
      </c>
      <c r="C32" s="9">
        <v>0.28000000000000003</v>
      </c>
      <c r="D32" s="2">
        <v>144</v>
      </c>
      <c r="E32" s="12">
        <f t="shared" si="9"/>
        <v>65.317971514106858</v>
      </c>
      <c r="F32" s="12">
        <f t="shared" si="12"/>
        <v>141.12</v>
      </c>
      <c r="G32" s="12">
        <f t="shared" si="16"/>
        <v>64.011612083824716</v>
      </c>
      <c r="H32" s="1">
        <f t="shared" si="13"/>
        <v>7.0559999999999956E-2</v>
      </c>
      <c r="I32" s="4">
        <f t="shared" si="17"/>
        <v>105.83999999999993</v>
      </c>
      <c r="J32" s="12">
        <f t="shared" si="10"/>
        <v>48.008709062868512</v>
      </c>
      <c r="L32" s="18">
        <f t="shared" si="14"/>
        <v>39.513600000000004</v>
      </c>
      <c r="M32" s="18">
        <f t="shared" si="11"/>
        <v>29.635199999999983</v>
      </c>
    </row>
    <row r="33" spans="1:13" x14ac:dyDescent="0.25">
      <c r="A33" s="15" t="s">
        <v>26</v>
      </c>
      <c r="B33" s="7">
        <f t="shared" si="15"/>
        <v>1080</v>
      </c>
      <c r="C33" s="9">
        <v>0.54</v>
      </c>
      <c r="E33" s="12">
        <f t="shared" si="9"/>
        <v>0</v>
      </c>
      <c r="F33" s="12">
        <f t="shared" si="12"/>
        <v>0</v>
      </c>
      <c r="G33" s="12">
        <f t="shared" si="16"/>
        <v>0</v>
      </c>
      <c r="H33" s="1">
        <f t="shared" si="13"/>
        <v>0</v>
      </c>
      <c r="I33" s="4">
        <f t="shared" si="17"/>
        <v>0</v>
      </c>
      <c r="J33" s="12">
        <f t="shared" si="10"/>
        <v>0</v>
      </c>
      <c r="L33" s="18">
        <f t="shared" si="14"/>
        <v>0</v>
      </c>
      <c r="M33" s="18">
        <f t="shared" si="11"/>
        <v>0</v>
      </c>
    </row>
    <row r="34" spans="1:13" x14ac:dyDescent="0.25">
      <c r="A34" s="15" t="s">
        <v>17</v>
      </c>
      <c r="B34" s="7">
        <f t="shared" si="15"/>
        <v>1520</v>
      </c>
      <c r="C34" s="19">
        <v>0.76</v>
      </c>
      <c r="E34" s="12"/>
      <c r="F34" s="12">
        <f>+D23*H34</f>
        <v>40</v>
      </c>
      <c r="G34" s="12">
        <f>+F34/M$2</f>
        <v>18.143880976140796</v>
      </c>
      <c r="H34" s="16">
        <v>0.02</v>
      </c>
      <c r="I34" s="4">
        <f t="shared" si="17"/>
        <v>30</v>
      </c>
      <c r="J34" s="12">
        <f t="shared" si="10"/>
        <v>13.607910732105596</v>
      </c>
      <c r="L34" s="18">
        <f t="shared" si="14"/>
        <v>30.4</v>
      </c>
      <c r="M34" s="18">
        <f t="shared" si="11"/>
        <v>22.8</v>
      </c>
    </row>
    <row r="35" spans="1:13" x14ac:dyDescent="0.25">
      <c r="A35" s="15" t="s">
        <v>27</v>
      </c>
      <c r="B35" s="20">
        <v>75</v>
      </c>
      <c r="C35" s="8">
        <f>+B35/D$4</f>
        <v>3.7499999999999999E-2</v>
      </c>
      <c r="E35" s="12"/>
      <c r="F35" s="12"/>
      <c r="G35" s="12"/>
      <c r="H35" s="21"/>
      <c r="I35" s="4"/>
      <c r="J35" s="12"/>
      <c r="L35" s="18">
        <f>+C35*D23</f>
        <v>75</v>
      </c>
      <c r="M35" s="18">
        <f>+C35*I23</f>
        <v>45</v>
      </c>
    </row>
    <row r="36" spans="1:13" x14ac:dyDescent="0.25">
      <c r="C36" s="8"/>
      <c r="H36" s="6"/>
    </row>
    <row r="37" spans="1:13" x14ac:dyDescent="0.25">
      <c r="C37" s="8"/>
      <c r="D37" s="2">
        <f>SUM(D25:D36)</f>
        <v>2000</v>
      </c>
      <c r="E37" s="12">
        <f>+D37/$M$2</f>
        <v>907.19404880703974</v>
      </c>
      <c r="F37" s="12">
        <f>SUM(F25:F36)</f>
        <v>2000</v>
      </c>
      <c r="G37" s="12">
        <f>SUM(G25:G36)</f>
        <v>907.19404880703985</v>
      </c>
      <c r="H37" s="6">
        <f>SUM(H25:H34)</f>
        <v>0.99999999999999989</v>
      </c>
      <c r="I37" s="4">
        <f>SUM(I25:I34)</f>
        <v>1499.9999999999998</v>
      </c>
      <c r="J37" s="12">
        <f>+I37/$M$2</f>
        <v>680.39553660527974</v>
      </c>
      <c r="L37" s="18">
        <f>SUM(L25:L36)</f>
        <v>737.64210000000003</v>
      </c>
      <c r="M37" s="18">
        <f>SUM(M25:M36)</f>
        <v>541.98157500000002</v>
      </c>
    </row>
    <row r="38" spans="1:13" x14ac:dyDescent="0.25">
      <c r="C38" s="8"/>
      <c r="H38" s="6"/>
      <c r="I38" s="4"/>
    </row>
    <row r="39" spans="1:13" x14ac:dyDescent="0.25">
      <c r="B39" s="23" t="s">
        <v>21</v>
      </c>
      <c r="C39" s="13" t="s">
        <v>20</v>
      </c>
      <c r="D39" s="25">
        <f>+L37</f>
        <v>737.64210000000003</v>
      </c>
      <c r="E39" s="26" t="s">
        <v>12</v>
      </c>
      <c r="F39" s="24">
        <f>+D39/2000</f>
        <v>0.36882105000000004</v>
      </c>
      <c r="G39" s="11"/>
      <c r="I39" s="4"/>
    </row>
    <row r="42" spans="1:13" ht="31.2" x14ac:dyDescent="0.25">
      <c r="A42" s="3"/>
      <c r="B42" s="3" t="s">
        <v>9</v>
      </c>
      <c r="C42" s="3" t="s">
        <v>10</v>
      </c>
      <c r="D42" s="3" t="s">
        <v>8</v>
      </c>
      <c r="E42" s="3" t="s">
        <v>16</v>
      </c>
      <c r="F42" s="3" t="s">
        <v>19</v>
      </c>
      <c r="G42" s="3" t="s">
        <v>18</v>
      </c>
      <c r="H42" s="3" t="s">
        <v>6</v>
      </c>
      <c r="I42" s="3" t="s">
        <v>7</v>
      </c>
      <c r="J42" s="3" t="s">
        <v>15</v>
      </c>
      <c r="K42" s="3"/>
      <c r="L42" s="3" t="s">
        <v>23</v>
      </c>
      <c r="M42" s="3" t="s">
        <v>24</v>
      </c>
    </row>
    <row r="43" spans="1:13" ht="15.6" x14ac:dyDescent="0.3">
      <c r="A43" s="22" t="s">
        <v>106</v>
      </c>
      <c r="B43" s="2"/>
      <c r="C43" s="2"/>
      <c r="D43" s="2">
        <v>2000</v>
      </c>
      <c r="E43" s="12">
        <f>+D43/$M$2</f>
        <v>907.19404880703974</v>
      </c>
      <c r="F43" s="12"/>
      <c r="G43" s="12"/>
      <c r="H43" s="2" t="s">
        <v>14</v>
      </c>
      <c r="I43" s="5">
        <v>1200</v>
      </c>
      <c r="J43" s="12">
        <f>+I43/$M$2</f>
        <v>544.31642928422389</v>
      </c>
      <c r="K43" s="2"/>
      <c r="L43" s="2"/>
      <c r="M43" s="2"/>
    </row>
    <row r="45" spans="1:13" x14ac:dyDescent="0.25">
      <c r="A45" t="s">
        <v>0</v>
      </c>
      <c r="B45" s="10">
        <v>400</v>
      </c>
      <c r="C45" s="8">
        <f>+B45/D$4</f>
        <v>0.2</v>
      </c>
      <c r="D45" s="2">
        <v>890</v>
      </c>
      <c r="E45" s="12">
        <f t="shared" ref="E45:E53" si="18">+D45/$M$2</f>
        <v>403.70135171913267</v>
      </c>
      <c r="F45" s="12">
        <f>+D45*(1-$H$54)</f>
        <v>872.19999999999993</v>
      </c>
      <c r="G45" s="12">
        <f>+E45*(1-$H$14)</f>
        <v>395.62732468475002</v>
      </c>
      <c r="H45" s="1">
        <f>1-((D$43-F45)/D$43)</f>
        <v>0.43609999999999993</v>
      </c>
      <c r="I45" s="4">
        <f t="shared" ref="I45:I54" si="19">+I$4*H45</f>
        <v>654.14999999999986</v>
      </c>
      <c r="J45" s="12">
        <f t="shared" ref="J45:J54" si="20">+I45/$M$2</f>
        <v>296.72049351356247</v>
      </c>
      <c r="L45" s="18">
        <f>+F45*C45</f>
        <v>174.44</v>
      </c>
      <c r="M45" s="18">
        <f t="shared" ref="M45:M54" si="21">+I45*C45</f>
        <v>130.82999999999998</v>
      </c>
    </row>
    <row r="46" spans="1:13" x14ac:dyDescent="0.25">
      <c r="A46" t="s">
        <v>1</v>
      </c>
      <c r="B46" s="10">
        <v>820</v>
      </c>
      <c r="C46" s="8">
        <f>+B46/D$4</f>
        <v>0.41</v>
      </c>
      <c r="D46" s="2">
        <v>750</v>
      </c>
      <c r="E46" s="12">
        <f t="shared" si="18"/>
        <v>340.19776830263993</v>
      </c>
      <c r="F46" s="12">
        <f t="shared" ref="F46:F53" si="22">+D46*(1-$H$54)</f>
        <v>735</v>
      </c>
      <c r="G46" s="12">
        <f>+E46*(1-$H$14)</f>
        <v>333.3938129365871</v>
      </c>
      <c r="H46" s="1">
        <f t="shared" ref="H46:H53" si="23">1-((D$43-F46)/D$43)</f>
        <v>0.36750000000000005</v>
      </c>
      <c r="I46" s="4">
        <f t="shared" si="19"/>
        <v>551.25000000000011</v>
      </c>
      <c r="J46" s="12">
        <f t="shared" si="20"/>
        <v>250.04535970244038</v>
      </c>
      <c r="L46" s="18">
        <f t="shared" ref="L46:L54" si="24">+F46*C46</f>
        <v>301.34999999999997</v>
      </c>
      <c r="M46" s="18">
        <f t="shared" si="21"/>
        <v>226.01250000000005</v>
      </c>
    </row>
    <row r="47" spans="1:13" x14ac:dyDescent="0.25">
      <c r="A47" t="s">
        <v>2</v>
      </c>
      <c r="B47" s="10">
        <v>370</v>
      </c>
      <c r="C47" s="8">
        <f>+B47/D$4</f>
        <v>0.185</v>
      </c>
      <c r="D47" s="2">
        <v>200</v>
      </c>
      <c r="E47" s="12">
        <f t="shared" si="18"/>
        <v>90.719404880703976</v>
      </c>
      <c r="F47" s="12">
        <f t="shared" si="22"/>
        <v>196</v>
      </c>
      <c r="G47" s="12">
        <f>+E47*(1-$H$14)</f>
        <v>88.905016783089891</v>
      </c>
      <c r="H47" s="1">
        <f t="shared" si="23"/>
        <v>9.7999999999999976E-2</v>
      </c>
      <c r="I47" s="4">
        <f t="shared" si="19"/>
        <v>146.99999999999997</v>
      </c>
      <c r="J47" s="12">
        <f t="shared" si="20"/>
        <v>66.678762587317408</v>
      </c>
      <c r="L47" s="18">
        <f t="shared" si="24"/>
        <v>36.26</v>
      </c>
      <c r="M47" s="18">
        <f t="shared" si="21"/>
        <v>27.194999999999993</v>
      </c>
    </row>
    <row r="48" spans="1:13" x14ac:dyDescent="0.25">
      <c r="A48" t="s">
        <v>3</v>
      </c>
      <c r="B48" s="7">
        <f t="shared" ref="B48:B54" si="25">+C48*D$4</f>
        <v>1760</v>
      </c>
      <c r="C48" s="9">
        <v>0.88</v>
      </c>
      <c r="D48" s="2">
        <v>60</v>
      </c>
      <c r="E48" s="12">
        <f t="shared" si="18"/>
        <v>27.215821464211192</v>
      </c>
      <c r="F48" s="12">
        <f t="shared" si="22"/>
        <v>58.8</v>
      </c>
      <c r="G48" s="12">
        <f t="shared" ref="G48:G53" si="26">+E48*(1-$H$14)</f>
        <v>26.67150503492697</v>
      </c>
      <c r="H48" s="1">
        <f t="shared" si="23"/>
        <v>2.9399999999999982E-2</v>
      </c>
      <c r="I48" s="4">
        <f t="shared" si="19"/>
        <v>44.099999999999973</v>
      </c>
      <c r="J48" s="12">
        <f t="shared" si="20"/>
        <v>20.003628776195214</v>
      </c>
      <c r="L48" s="18">
        <f t="shared" si="24"/>
        <v>51.744</v>
      </c>
      <c r="M48" s="18">
        <f t="shared" si="21"/>
        <v>38.807999999999979</v>
      </c>
    </row>
    <row r="49" spans="1:13" x14ac:dyDescent="0.25">
      <c r="A49" s="15" t="s">
        <v>25</v>
      </c>
      <c r="B49" s="7">
        <f t="shared" si="25"/>
        <v>2280</v>
      </c>
      <c r="C49" s="19">
        <v>1.1399999999999999</v>
      </c>
      <c r="E49" s="12">
        <f t="shared" si="18"/>
        <v>0</v>
      </c>
      <c r="F49" s="12">
        <f t="shared" si="22"/>
        <v>0</v>
      </c>
      <c r="G49" s="12">
        <f t="shared" si="26"/>
        <v>0</v>
      </c>
      <c r="H49" s="1">
        <f t="shared" si="23"/>
        <v>0</v>
      </c>
      <c r="I49" s="4">
        <f t="shared" si="19"/>
        <v>0</v>
      </c>
      <c r="J49" s="12">
        <f t="shared" si="20"/>
        <v>0</v>
      </c>
      <c r="L49" s="18">
        <f t="shared" si="24"/>
        <v>0</v>
      </c>
      <c r="M49" s="18">
        <f t="shared" si="21"/>
        <v>0</v>
      </c>
    </row>
    <row r="50" spans="1:13" x14ac:dyDescent="0.25">
      <c r="A50" t="s">
        <v>4</v>
      </c>
      <c r="B50" s="7">
        <f t="shared" si="25"/>
        <v>940</v>
      </c>
      <c r="C50" s="9">
        <v>0.47</v>
      </c>
      <c r="E50" s="12">
        <f t="shared" si="18"/>
        <v>0</v>
      </c>
      <c r="F50" s="12">
        <f t="shared" si="22"/>
        <v>0</v>
      </c>
      <c r="G50" s="12">
        <f t="shared" si="26"/>
        <v>0</v>
      </c>
      <c r="H50" s="1">
        <f t="shared" si="23"/>
        <v>0</v>
      </c>
      <c r="I50" s="4">
        <f t="shared" si="19"/>
        <v>0</v>
      </c>
      <c r="J50" s="12">
        <f t="shared" si="20"/>
        <v>0</v>
      </c>
      <c r="L50" s="18">
        <f t="shared" si="24"/>
        <v>0</v>
      </c>
      <c r="M50" s="18">
        <f t="shared" si="21"/>
        <v>0</v>
      </c>
    </row>
    <row r="51" spans="1:13" x14ac:dyDescent="0.25">
      <c r="A51" s="15" t="s">
        <v>28</v>
      </c>
      <c r="B51" s="7">
        <f t="shared" si="25"/>
        <v>940</v>
      </c>
      <c r="C51" s="9">
        <v>0.47</v>
      </c>
      <c r="D51" s="2">
        <v>75</v>
      </c>
      <c r="E51" s="12">
        <f t="shared" si="18"/>
        <v>34.019776830263993</v>
      </c>
      <c r="F51" s="12">
        <f t="shared" si="22"/>
        <v>73.5</v>
      </c>
      <c r="G51" s="12">
        <f t="shared" si="26"/>
        <v>33.339381293658711</v>
      </c>
      <c r="H51" s="1">
        <f t="shared" si="23"/>
        <v>3.6749999999999949E-2</v>
      </c>
      <c r="I51" s="4">
        <f t="shared" si="19"/>
        <v>55.124999999999922</v>
      </c>
      <c r="J51" s="12">
        <f t="shared" si="20"/>
        <v>25.004535970244</v>
      </c>
      <c r="L51" s="18">
        <f t="shared" si="24"/>
        <v>34.544999999999995</v>
      </c>
      <c r="M51" s="18">
        <f t="shared" si="21"/>
        <v>25.908749999999962</v>
      </c>
    </row>
    <row r="52" spans="1:13" x14ac:dyDescent="0.25">
      <c r="A52" t="s">
        <v>5</v>
      </c>
      <c r="B52" s="7">
        <f t="shared" si="25"/>
        <v>560</v>
      </c>
      <c r="C52" s="9">
        <v>0.28000000000000003</v>
      </c>
      <c r="D52" s="2">
        <v>25</v>
      </c>
      <c r="E52" s="12">
        <f t="shared" si="18"/>
        <v>11.339925610087997</v>
      </c>
      <c r="F52" s="12">
        <f t="shared" si="22"/>
        <v>24.5</v>
      </c>
      <c r="G52" s="12">
        <f t="shared" si="26"/>
        <v>11.113127097886236</v>
      </c>
      <c r="H52" s="1">
        <f t="shared" si="23"/>
        <v>1.2249999999999983E-2</v>
      </c>
      <c r="I52" s="4">
        <f t="shared" si="19"/>
        <v>18.374999999999975</v>
      </c>
      <c r="J52" s="12">
        <f t="shared" si="20"/>
        <v>8.3348453234146671</v>
      </c>
      <c r="L52" s="18">
        <f t="shared" si="24"/>
        <v>6.86</v>
      </c>
      <c r="M52" s="18">
        <f t="shared" si="21"/>
        <v>5.1449999999999934</v>
      </c>
    </row>
    <row r="53" spans="1:13" x14ac:dyDescent="0.25">
      <c r="A53" s="15" t="s">
        <v>26</v>
      </c>
      <c r="B53" s="7">
        <f t="shared" si="25"/>
        <v>1080</v>
      </c>
      <c r="C53" s="9">
        <v>0.54</v>
      </c>
      <c r="E53" s="12">
        <f t="shared" si="18"/>
        <v>0</v>
      </c>
      <c r="F53" s="12">
        <f t="shared" si="22"/>
        <v>0</v>
      </c>
      <c r="G53" s="12">
        <f t="shared" si="26"/>
        <v>0</v>
      </c>
      <c r="H53" s="1">
        <f t="shared" si="23"/>
        <v>0</v>
      </c>
      <c r="I53" s="4">
        <f t="shared" si="19"/>
        <v>0</v>
      </c>
      <c r="J53" s="12">
        <f t="shared" si="20"/>
        <v>0</v>
      </c>
      <c r="L53" s="18">
        <f t="shared" si="24"/>
        <v>0</v>
      </c>
      <c r="M53" s="18">
        <f t="shared" si="21"/>
        <v>0</v>
      </c>
    </row>
    <row r="54" spans="1:13" x14ac:dyDescent="0.25">
      <c r="A54" s="15" t="s">
        <v>17</v>
      </c>
      <c r="B54" s="7">
        <f t="shared" si="25"/>
        <v>1520</v>
      </c>
      <c r="C54" s="19">
        <v>0.76</v>
      </c>
      <c r="E54" s="12"/>
      <c r="F54" s="12">
        <f>+D43*H54</f>
        <v>40</v>
      </c>
      <c r="G54" s="12">
        <f>+F54/M$2</f>
        <v>18.143880976140796</v>
      </c>
      <c r="H54" s="16">
        <v>0.02</v>
      </c>
      <c r="I54" s="4">
        <f t="shared" si="19"/>
        <v>30</v>
      </c>
      <c r="J54" s="12">
        <f t="shared" si="20"/>
        <v>13.607910732105596</v>
      </c>
      <c r="L54" s="18">
        <f t="shared" si="24"/>
        <v>30.4</v>
      </c>
      <c r="M54" s="18">
        <f t="shared" si="21"/>
        <v>22.8</v>
      </c>
    </row>
    <row r="55" spans="1:13" x14ac:dyDescent="0.25">
      <c r="A55" s="15" t="s">
        <v>27</v>
      </c>
      <c r="B55" s="20">
        <v>75</v>
      </c>
      <c r="C55" s="8">
        <f>+B55/D$4</f>
        <v>3.7499999999999999E-2</v>
      </c>
      <c r="E55" s="12"/>
      <c r="F55" s="12"/>
      <c r="G55" s="12"/>
      <c r="H55" s="21"/>
      <c r="I55" s="4"/>
      <c r="J55" s="12"/>
      <c r="L55" s="18">
        <f>+C55*D43</f>
        <v>75</v>
      </c>
      <c r="M55" s="18">
        <f>+C55*I43</f>
        <v>45</v>
      </c>
    </row>
    <row r="56" spans="1:13" x14ac:dyDescent="0.25">
      <c r="C56" s="8"/>
      <c r="H56" s="6"/>
    </row>
    <row r="57" spans="1:13" x14ac:dyDescent="0.25">
      <c r="C57" s="8"/>
      <c r="D57" s="2">
        <f>SUM(D45:D56)</f>
        <v>2000</v>
      </c>
      <c r="E57" s="12">
        <f>+D57/$M$2</f>
        <v>907.19404880703974</v>
      </c>
      <c r="F57" s="12">
        <f>SUM(F45:F56)</f>
        <v>1999.9999999999998</v>
      </c>
      <c r="G57" s="12">
        <f>SUM(G45:G56)</f>
        <v>907.19404880703985</v>
      </c>
      <c r="H57" s="6">
        <f>SUM(H45:H54)</f>
        <v>0.99999999999999989</v>
      </c>
      <c r="I57" s="4">
        <f>SUM(I45:I54)</f>
        <v>1500</v>
      </c>
      <c r="J57" s="12">
        <f>+I57/$M$2</f>
        <v>680.39553660527986</v>
      </c>
      <c r="L57" s="18">
        <f>SUM(L45:L56)</f>
        <v>710.59899999999993</v>
      </c>
      <c r="M57" s="18">
        <f>SUM(M45:M56)</f>
        <v>521.69924999999989</v>
      </c>
    </row>
    <row r="58" spans="1:13" x14ac:dyDescent="0.25">
      <c r="C58" s="8"/>
      <c r="H58" s="6"/>
      <c r="I58" s="4"/>
    </row>
    <row r="59" spans="1:13" x14ac:dyDescent="0.25">
      <c r="B59" s="23" t="s">
        <v>21</v>
      </c>
      <c r="C59" s="13" t="s">
        <v>20</v>
      </c>
      <c r="D59" s="25">
        <f>+L57</f>
        <v>710.59899999999993</v>
      </c>
      <c r="E59" s="26" t="s">
        <v>12</v>
      </c>
      <c r="F59" s="24">
        <f>+D59/2000</f>
        <v>0.35529949999999999</v>
      </c>
      <c r="G59" s="11"/>
      <c r="I59" s="4"/>
    </row>
  </sheetData>
  <phoneticPr fontId="2" type="noConversion"/>
  <pageMargins left="0.75" right="0.75" top="1" bottom="1" header="0.5" footer="0.5"/>
  <pageSetup scale="74"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44"/>
  <sheetViews>
    <sheetView workbookViewId="0">
      <selection activeCell="P10" sqref="P10"/>
    </sheetView>
  </sheetViews>
  <sheetFormatPr defaultRowHeight="13.2" x14ac:dyDescent="0.25"/>
  <cols>
    <col min="1" max="1" width="4" customWidth="1"/>
  </cols>
  <sheetData>
    <row r="2" spans="2:14" ht="13.8" x14ac:dyDescent="0.3">
      <c r="B2" s="41" t="s">
        <v>35</v>
      </c>
      <c r="C2" s="42" t="s">
        <v>31</v>
      </c>
      <c r="D2" s="43">
        <v>1</v>
      </c>
      <c r="E2" s="43">
        <v>2</v>
      </c>
      <c r="F2" s="43">
        <v>3</v>
      </c>
      <c r="G2" s="43">
        <v>4</v>
      </c>
      <c r="H2" s="43">
        <v>5</v>
      </c>
      <c r="I2" s="43">
        <v>6</v>
      </c>
      <c r="J2" s="44">
        <v>7</v>
      </c>
      <c r="K2" s="27" t="s">
        <v>32</v>
      </c>
      <c r="L2" s="27" t="s">
        <v>33</v>
      </c>
      <c r="M2" s="27" t="s">
        <v>34</v>
      </c>
    </row>
    <row r="3" spans="2:14" x14ac:dyDescent="0.25">
      <c r="B3" s="45">
        <v>2012</v>
      </c>
      <c r="C3" s="34">
        <v>400</v>
      </c>
      <c r="D3" s="34">
        <v>355</v>
      </c>
      <c r="E3" s="34">
        <v>362</v>
      </c>
      <c r="F3" s="34">
        <v>342</v>
      </c>
      <c r="G3" s="34">
        <v>361</v>
      </c>
      <c r="H3" s="34">
        <v>370</v>
      </c>
      <c r="I3" s="34">
        <v>358</v>
      </c>
      <c r="J3" s="34">
        <v>343</v>
      </c>
      <c r="K3">
        <f>SUM(D3:J3)</f>
        <v>2491</v>
      </c>
      <c r="L3" s="28">
        <f>+K3/12</f>
        <v>207.58333333333334</v>
      </c>
      <c r="M3" s="29">
        <f>+(K3/7)/C3</f>
        <v>0.88964285714285707</v>
      </c>
      <c r="N3" s="27"/>
    </row>
    <row r="4" spans="2:14" x14ac:dyDescent="0.25">
      <c r="B4" s="47" t="str">
        <f t="shared" ref="B4:B11" si="0">+B2</f>
        <v>January</v>
      </c>
      <c r="C4" s="35"/>
      <c r="D4" s="33">
        <f>+D2+7</f>
        <v>8</v>
      </c>
      <c r="E4" s="33">
        <f t="shared" ref="E4:J4" si="1">+E2+7</f>
        <v>9</v>
      </c>
      <c r="F4" s="33">
        <f t="shared" si="1"/>
        <v>10</v>
      </c>
      <c r="G4" s="33">
        <f t="shared" si="1"/>
        <v>11</v>
      </c>
      <c r="H4" s="33">
        <f t="shared" si="1"/>
        <v>12</v>
      </c>
      <c r="I4" s="33">
        <f t="shared" si="1"/>
        <v>13</v>
      </c>
      <c r="J4" s="48">
        <f t="shared" si="1"/>
        <v>14</v>
      </c>
      <c r="K4" s="27"/>
      <c r="L4" s="28"/>
      <c r="M4" s="27"/>
    </row>
    <row r="5" spans="2:14" x14ac:dyDescent="0.25">
      <c r="B5" s="49">
        <f t="shared" si="0"/>
        <v>2012</v>
      </c>
      <c r="C5" s="36">
        <f>+C3</f>
        <v>400</v>
      </c>
      <c r="D5" s="34">
        <v>348</v>
      </c>
      <c r="E5" s="34">
        <v>369</v>
      </c>
      <c r="F5" s="34">
        <v>355</v>
      </c>
      <c r="G5" s="34">
        <v>341</v>
      </c>
      <c r="H5" s="34">
        <v>366</v>
      </c>
      <c r="I5" s="34">
        <v>352</v>
      </c>
      <c r="J5" s="34">
        <v>348</v>
      </c>
      <c r="K5">
        <f>SUM(D5:J5)</f>
        <v>2479</v>
      </c>
      <c r="L5" s="28">
        <f>+K5/12</f>
        <v>206.58333333333334</v>
      </c>
      <c r="M5" s="29">
        <f>+(K5/7)/C5</f>
        <v>0.88535714285714295</v>
      </c>
      <c r="N5" s="27"/>
    </row>
    <row r="6" spans="2:14" x14ac:dyDescent="0.25">
      <c r="B6" s="47" t="str">
        <f t="shared" si="0"/>
        <v>January</v>
      </c>
      <c r="C6" s="35"/>
      <c r="D6" s="33">
        <f>+D4+7</f>
        <v>15</v>
      </c>
      <c r="E6" s="33">
        <f t="shared" ref="E6:J6" si="2">+E4+7</f>
        <v>16</v>
      </c>
      <c r="F6" s="33">
        <f t="shared" si="2"/>
        <v>17</v>
      </c>
      <c r="G6" s="33">
        <f t="shared" si="2"/>
        <v>18</v>
      </c>
      <c r="H6" s="33">
        <f t="shared" si="2"/>
        <v>19</v>
      </c>
      <c r="I6" s="33">
        <f t="shared" si="2"/>
        <v>20</v>
      </c>
      <c r="J6" s="48">
        <f t="shared" si="2"/>
        <v>21</v>
      </c>
      <c r="K6" s="27"/>
      <c r="L6" s="28"/>
      <c r="M6" s="27"/>
    </row>
    <row r="7" spans="2:14" x14ac:dyDescent="0.25">
      <c r="B7" s="49">
        <f t="shared" si="0"/>
        <v>2012</v>
      </c>
      <c r="C7" s="36">
        <f>+C5</f>
        <v>400</v>
      </c>
      <c r="D7" s="34">
        <v>355</v>
      </c>
      <c r="E7" s="34">
        <v>344</v>
      </c>
      <c r="F7" s="34">
        <v>342</v>
      </c>
      <c r="G7" s="34">
        <v>339</v>
      </c>
      <c r="H7" s="34">
        <v>370</v>
      </c>
      <c r="I7" s="34">
        <v>358</v>
      </c>
      <c r="J7" s="34">
        <v>343</v>
      </c>
      <c r="K7" s="32">
        <f>SUM(D7:J7)</f>
        <v>2451</v>
      </c>
      <c r="L7" s="28">
        <f>+K7/12</f>
        <v>204.25</v>
      </c>
      <c r="M7" s="29">
        <f>+(K7/7)/C7</f>
        <v>0.87535714285714294</v>
      </c>
      <c r="N7" s="27"/>
    </row>
    <row r="8" spans="2:14" x14ac:dyDescent="0.25">
      <c r="B8" s="47" t="str">
        <f t="shared" si="0"/>
        <v>January</v>
      </c>
      <c r="C8" s="35"/>
      <c r="D8" s="33">
        <f>+D6+7</f>
        <v>22</v>
      </c>
      <c r="E8" s="33">
        <f t="shared" ref="E8:J8" si="3">+E6+7</f>
        <v>23</v>
      </c>
      <c r="F8" s="33">
        <f t="shared" si="3"/>
        <v>24</v>
      </c>
      <c r="G8" s="33">
        <f t="shared" si="3"/>
        <v>25</v>
      </c>
      <c r="H8" s="33">
        <f t="shared" si="3"/>
        <v>26</v>
      </c>
      <c r="I8" s="33">
        <f t="shared" si="3"/>
        <v>27</v>
      </c>
      <c r="J8" s="48">
        <f t="shared" si="3"/>
        <v>28</v>
      </c>
      <c r="K8" s="27"/>
      <c r="L8" s="28"/>
      <c r="M8" s="27"/>
    </row>
    <row r="9" spans="2:14" x14ac:dyDescent="0.25">
      <c r="B9" s="49">
        <f t="shared" si="0"/>
        <v>2012</v>
      </c>
      <c r="C9" s="36">
        <f>+C7</f>
        <v>400</v>
      </c>
      <c r="D9" s="34">
        <v>360</v>
      </c>
      <c r="E9" s="34">
        <v>325</v>
      </c>
      <c r="F9" s="34">
        <v>358</v>
      </c>
      <c r="G9" s="34">
        <v>349</v>
      </c>
      <c r="H9" s="34">
        <v>361</v>
      </c>
      <c r="I9" s="34">
        <v>353</v>
      </c>
      <c r="J9" s="34">
        <v>340</v>
      </c>
      <c r="K9">
        <f>SUM(D9:J9)</f>
        <v>2446</v>
      </c>
      <c r="L9" s="28">
        <f>+K9/12</f>
        <v>203.83333333333334</v>
      </c>
      <c r="M9" s="29">
        <f>+(K9/7)/C9</f>
        <v>0.87357142857142867</v>
      </c>
      <c r="N9" s="27"/>
    </row>
    <row r="10" spans="2:14" x14ac:dyDescent="0.25">
      <c r="B10" s="47" t="str">
        <f t="shared" si="0"/>
        <v>January</v>
      </c>
      <c r="C10" s="35"/>
      <c r="D10" s="33">
        <f>+D8+7</f>
        <v>29</v>
      </c>
      <c r="E10" s="33">
        <f>+E8+7</f>
        <v>30</v>
      </c>
      <c r="F10" s="33">
        <f>+F8+7</f>
        <v>31</v>
      </c>
      <c r="G10" s="37"/>
      <c r="H10" s="37"/>
      <c r="I10" s="37"/>
      <c r="J10" s="50"/>
      <c r="K10" s="27"/>
      <c r="L10" s="28"/>
      <c r="M10" s="27"/>
    </row>
    <row r="11" spans="2:14" x14ac:dyDescent="0.25">
      <c r="B11" s="49">
        <f t="shared" si="0"/>
        <v>2012</v>
      </c>
      <c r="C11" s="36">
        <f>+C9</f>
        <v>400</v>
      </c>
      <c r="D11" s="34">
        <v>350</v>
      </c>
      <c r="E11" s="34">
        <v>341</v>
      </c>
      <c r="F11" s="34">
        <v>333</v>
      </c>
      <c r="G11" s="36"/>
      <c r="H11" s="36"/>
      <c r="I11" s="36"/>
      <c r="J11" s="51"/>
      <c r="K11">
        <f>SUM(D11:J11)</f>
        <v>1024</v>
      </c>
      <c r="L11" s="28">
        <f>+K11/12</f>
        <v>85.333333333333329</v>
      </c>
      <c r="M11" s="29">
        <f>+(K11/N11)/C11</f>
        <v>0.85333333333333328</v>
      </c>
      <c r="N11">
        <f>7-(COUNTBLANK(D11:J11))</f>
        <v>3</v>
      </c>
    </row>
    <row r="12" spans="2:14" x14ac:dyDescent="0.25">
      <c r="B12" s="52"/>
      <c r="C12" s="38"/>
      <c r="D12" s="39"/>
      <c r="E12" s="39"/>
      <c r="F12" s="39"/>
      <c r="G12" s="40"/>
      <c r="H12" s="39"/>
      <c r="I12" s="39"/>
      <c r="J12" s="53"/>
      <c r="K12" s="27">
        <f>+K11+K9+K7+K5+K3</f>
        <v>10891</v>
      </c>
      <c r="L12" s="28">
        <f>+K12/12</f>
        <v>907.58333333333337</v>
      </c>
      <c r="M12" s="31">
        <f>AVERAGE(M3:M11)</f>
        <v>0.87545238095238087</v>
      </c>
    </row>
    <row r="13" spans="2:14" x14ac:dyDescent="0.25">
      <c r="B13" s="27"/>
      <c r="C13" s="27"/>
      <c r="D13" s="2"/>
      <c r="E13" s="2"/>
      <c r="F13" s="2"/>
      <c r="G13" s="30"/>
      <c r="H13" s="2"/>
      <c r="I13" s="2"/>
      <c r="J13" s="2"/>
      <c r="K13" s="27"/>
      <c r="L13" s="28"/>
      <c r="M13" s="31"/>
    </row>
    <row r="14" spans="2:14" ht="13.8" x14ac:dyDescent="0.3">
      <c r="B14" s="41" t="s">
        <v>36</v>
      </c>
      <c r="C14" s="42" t="s">
        <v>31</v>
      </c>
      <c r="D14" s="43">
        <v>1</v>
      </c>
      <c r="E14" s="43">
        <v>2</v>
      </c>
      <c r="F14" s="43">
        <v>3</v>
      </c>
      <c r="G14" s="43">
        <v>4</v>
      </c>
      <c r="H14" s="43">
        <v>5</v>
      </c>
      <c r="I14" s="43">
        <v>6</v>
      </c>
      <c r="J14" s="44">
        <v>7</v>
      </c>
      <c r="K14" s="27" t="s">
        <v>32</v>
      </c>
      <c r="L14" s="27" t="s">
        <v>33</v>
      </c>
      <c r="M14" s="27" t="s">
        <v>34</v>
      </c>
    </row>
    <row r="15" spans="2:14" x14ac:dyDescent="0.25">
      <c r="B15" s="45">
        <v>2012</v>
      </c>
      <c r="C15" s="34">
        <v>100</v>
      </c>
      <c r="D15" s="34"/>
      <c r="E15" s="34"/>
      <c r="F15" s="34"/>
      <c r="G15" s="34"/>
      <c r="H15" s="34"/>
      <c r="I15" s="34"/>
      <c r="J15" s="46"/>
      <c r="K15">
        <f>SUM(D15:J15)</f>
        <v>0</v>
      </c>
      <c r="L15" s="28">
        <f>+K15/12</f>
        <v>0</v>
      </c>
      <c r="M15" s="29">
        <f>+(K15/7)/C15</f>
        <v>0</v>
      </c>
      <c r="N15" s="27"/>
    </row>
    <row r="16" spans="2:14" x14ac:dyDescent="0.25">
      <c r="B16" s="47" t="str">
        <f t="shared" ref="B16:B23" si="4">+B14</f>
        <v>February</v>
      </c>
      <c r="C16" s="35"/>
      <c r="D16" s="33">
        <f>+D14+7</f>
        <v>8</v>
      </c>
      <c r="E16" s="33">
        <f t="shared" ref="E16:J16" si="5">+E14+7</f>
        <v>9</v>
      </c>
      <c r="F16" s="33">
        <f t="shared" si="5"/>
        <v>10</v>
      </c>
      <c r="G16" s="33">
        <f t="shared" si="5"/>
        <v>11</v>
      </c>
      <c r="H16" s="33">
        <f t="shared" si="5"/>
        <v>12</v>
      </c>
      <c r="I16" s="33">
        <f t="shared" si="5"/>
        <v>13</v>
      </c>
      <c r="J16" s="48">
        <f t="shared" si="5"/>
        <v>14</v>
      </c>
      <c r="K16" s="27"/>
      <c r="L16" s="28"/>
      <c r="M16" s="27"/>
    </row>
    <row r="17" spans="2:14" x14ac:dyDescent="0.25">
      <c r="B17" s="49">
        <f t="shared" si="4"/>
        <v>2012</v>
      </c>
      <c r="C17" s="36">
        <f>+C15</f>
        <v>100</v>
      </c>
      <c r="D17" s="34"/>
      <c r="E17" s="34"/>
      <c r="F17" s="34"/>
      <c r="G17" s="34"/>
      <c r="H17" s="34"/>
      <c r="I17" s="34"/>
      <c r="J17" s="46"/>
      <c r="K17">
        <f>SUM(D17:J17)</f>
        <v>0</v>
      </c>
      <c r="L17" s="28">
        <f>+K17/12</f>
        <v>0</v>
      </c>
      <c r="M17" s="29">
        <f>+(K17/7)/C17</f>
        <v>0</v>
      </c>
      <c r="N17" s="27"/>
    </row>
    <row r="18" spans="2:14" x14ac:dyDescent="0.25">
      <c r="B18" s="47" t="str">
        <f t="shared" si="4"/>
        <v>February</v>
      </c>
      <c r="C18" s="35"/>
      <c r="D18" s="33">
        <f>+D16+7</f>
        <v>15</v>
      </c>
      <c r="E18" s="33">
        <f t="shared" ref="E18:J18" si="6">+E16+7</f>
        <v>16</v>
      </c>
      <c r="F18" s="33">
        <f t="shared" si="6"/>
        <v>17</v>
      </c>
      <c r="G18" s="33">
        <f t="shared" si="6"/>
        <v>18</v>
      </c>
      <c r="H18" s="33">
        <f t="shared" si="6"/>
        <v>19</v>
      </c>
      <c r="I18" s="33">
        <f t="shared" si="6"/>
        <v>20</v>
      </c>
      <c r="J18" s="48">
        <f t="shared" si="6"/>
        <v>21</v>
      </c>
      <c r="K18" s="27"/>
      <c r="L18" s="28"/>
      <c r="M18" s="27"/>
    </row>
    <row r="19" spans="2:14" x14ac:dyDescent="0.25">
      <c r="B19" s="49">
        <f t="shared" si="4"/>
        <v>2012</v>
      </c>
      <c r="C19" s="36">
        <f>+C17</f>
        <v>100</v>
      </c>
      <c r="D19" s="34"/>
      <c r="E19" s="34"/>
      <c r="F19" s="34"/>
      <c r="G19" s="34"/>
      <c r="H19" s="34"/>
      <c r="I19" s="34"/>
      <c r="J19" s="46"/>
      <c r="K19" s="32">
        <f>SUM(D19:J19)</f>
        <v>0</v>
      </c>
      <c r="L19" s="28">
        <f>+K19/12</f>
        <v>0</v>
      </c>
      <c r="M19" s="29">
        <f>+(K19/7)/C19</f>
        <v>0</v>
      </c>
      <c r="N19" s="27"/>
    </row>
    <row r="20" spans="2:14" x14ac:dyDescent="0.25">
      <c r="B20" s="47" t="str">
        <f t="shared" si="4"/>
        <v>February</v>
      </c>
      <c r="C20" s="35"/>
      <c r="D20" s="33">
        <f>+D18+7</f>
        <v>22</v>
      </c>
      <c r="E20" s="33">
        <f t="shared" ref="E20:J20" si="7">+E18+7</f>
        <v>23</v>
      </c>
      <c r="F20" s="33">
        <f t="shared" si="7"/>
        <v>24</v>
      </c>
      <c r="G20" s="33">
        <f t="shared" si="7"/>
        <v>25</v>
      </c>
      <c r="H20" s="33">
        <f t="shared" si="7"/>
        <v>26</v>
      </c>
      <c r="I20" s="33">
        <f t="shared" si="7"/>
        <v>27</v>
      </c>
      <c r="J20" s="48">
        <f t="shared" si="7"/>
        <v>28</v>
      </c>
      <c r="K20" s="27"/>
      <c r="L20" s="28"/>
      <c r="M20" s="27"/>
    </row>
    <row r="21" spans="2:14" x14ac:dyDescent="0.25">
      <c r="B21" s="49">
        <f t="shared" si="4"/>
        <v>2012</v>
      </c>
      <c r="C21" s="36">
        <f>+C19</f>
        <v>100</v>
      </c>
      <c r="D21" s="34"/>
      <c r="E21" s="34"/>
      <c r="F21" s="34"/>
      <c r="G21" s="34"/>
      <c r="H21" s="34"/>
      <c r="I21" s="34"/>
      <c r="J21" s="46"/>
      <c r="K21">
        <f>SUM(D21:J21)</f>
        <v>0</v>
      </c>
      <c r="L21" s="28">
        <f>+K21/12</f>
        <v>0</v>
      </c>
      <c r="M21" s="29">
        <f>+(K21/7)/C21</f>
        <v>0</v>
      </c>
      <c r="N21" s="27"/>
    </row>
    <row r="22" spans="2:14" x14ac:dyDescent="0.25">
      <c r="B22" s="47" t="str">
        <f t="shared" si="4"/>
        <v>February</v>
      </c>
      <c r="C22" s="35"/>
      <c r="D22" s="33">
        <f>+D20+7</f>
        <v>29</v>
      </c>
      <c r="E22" s="33"/>
      <c r="F22" s="33"/>
      <c r="G22" s="37"/>
      <c r="H22" s="37"/>
      <c r="I22" s="37"/>
      <c r="J22" s="50"/>
      <c r="K22" s="27"/>
      <c r="L22" s="28"/>
      <c r="M22" s="27"/>
    </row>
    <row r="23" spans="2:14" x14ac:dyDescent="0.25">
      <c r="B23" s="49">
        <f t="shared" si="4"/>
        <v>2012</v>
      </c>
      <c r="C23" s="36">
        <f>+C21</f>
        <v>100</v>
      </c>
      <c r="D23" s="34"/>
      <c r="E23" s="54"/>
      <c r="F23" s="54"/>
      <c r="G23" s="36"/>
      <c r="H23" s="36"/>
      <c r="I23" s="36"/>
      <c r="J23" s="51"/>
      <c r="K23">
        <f>SUM(D23:J23)</f>
        <v>0</v>
      </c>
      <c r="L23" s="28">
        <f>+K23/12</f>
        <v>0</v>
      </c>
      <c r="M23" s="29" t="e">
        <f>+(K23/N23)/C23</f>
        <v>#DIV/0!</v>
      </c>
      <c r="N23">
        <f>7-(COUNTBLANK(D23:J23))</f>
        <v>0</v>
      </c>
    </row>
    <row r="24" spans="2:14" x14ac:dyDescent="0.25">
      <c r="B24" s="52"/>
      <c r="C24" s="38"/>
      <c r="D24" s="39"/>
      <c r="E24" s="39"/>
      <c r="F24" s="39"/>
      <c r="G24" s="40"/>
      <c r="H24" s="39"/>
      <c r="I24" s="39"/>
      <c r="J24" s="53"/>
      <c r="K24" s="27">
        <f>+K23+K21+K19+K17+K15</f>
        <v>0</v>
      </c>
      <c r="L24" s="28">
        <f>+K24/12</f>
        <v>0</v>
      </c>
      <c r="M24" s="31" t="e">
        <f>AVERAGE(M15:M23)</f>
        <v>#DIV/0!</v>
      </c>
    </row>
    <row r="26" spans="2:14" ht="13.8" x14ac:dyDescent="0.3">
      <c r="B26" s="41" t="s">
        <v>37</v>
      </c>
      <c r="C26" s="42" t="s">
        <v>31</v>
      </c>
      <c r="D26" s="43">
        <v>1</v>
      </c>
      <c r="E26" s="43">
        <v>2</v>
      </c>
      <c r="F26" s="43">
        <v>3</v>
      </c>
      <c r="G26" s="43">
        <v>4</v>
      </c>
      <c r="H26" s="43">
        <v>5</v>
      </c>
      <c r="I26" s="43">
        <v>6</v>
      </c>
      <c r="J26" s="44">
        <v>7</v>
      </c>
      <c r="K26" s="27" t="s">
        <v>32</v>
      </c>
      <c r="L26" s="27" t="s">
        <v>33</v>
      </c>
      <c r="M26" s="27" t="s">
        <v>34</v>
      </c>
    </row>
    <row r="27" spans="2:14" x14ac:dyDescent="0.25">
      <c r="B27" s="45">
        <v>2012</v>
      </c>
      <c r="C27" s="34">
        <v>100</v>
      </c>
      <c r="D27" s="34"/>
      <c r="E27" s="34"/>
      <c r="F27" s="34"/>
      <c r="G27" s="34"/>
      <c r="H27" s="34"/>
      <c r="I27" s="34"/>
      <c r="J27" s="46"/>
      <c r="K27">
        <f>SUM(D27:J27)</f>
        <v>0</v>
      </c>
      <c r="L27" s="28">
        <f>+K27/12</f>
        <v>0</v>
      </c>
      <c r="M27" s="29">
        <f>+(K27/7)/C27</f>
        <v>0</v>
      </c>
      <c r="N27" s="27"/>
    </row>
    <row r="28" spans="2:14" x14ac:dyDescent="0.25">
      <c r="B28" s="47" t="str">
        <f t="shared" ref="B28:B35" si="8">+B26</f>
        <v>March</v>
      </c>
      <c r="C28" s="35"/>
      <c r="D28" s="33">
        <f>+D26+7</f>
        <v>8</v>
      </c>
      <c r="E28" s="33">
        <f t="shared" ref="E28:J28" si="9">+E26+7</f>
        <v>9</v>
      </c>
      <c r="F28" s="33">
        <f t="shared" si="9"/>
        <v>10</v>
      </c>
      <c r="G28" s="33">
        <f t="shared" si="9"/>
        <v>11</v>
      </c>
      <c r="H28" s="33">
        <f t="shared" si="9"/>
        <v>12</v>
      </c>
      <c r="I28" s="33">
        <f t="shared" si="9"/>
        <v>13</v>
      </c>
      <c r="J28" s="48">
        <f t="shared" si="9"/>
        <v>14</v>
      </c>
      <c r="K28" s="27"/>
      <c r="L28" s="28"/>
      <c r="M28" s="27"/>
    </row>
    <row r="29" spans="2:14" x14ac:dyDescent="0.25">
      <c r="B29" s="49">
        <f t="shared" si="8"/>
        <v>2012</v>
      </c>
      <c r="C29" s="36">
        <f>+C27</f>
        <v>100</v>
      </c>
      <c r="D29" s="34"/>
      <c r="E29" s="34"/>
      <c r="F29" s="34"/>
      <c r="G29" s="34"/>
      <c r="H29" s="34"/>
      <c r="I29" s="34"/>
      <c r="J29" s="46"/>
      <c r="K29">
        <f>SUM(D29:J29)</f>
        <v>0</v>
      </c>
      <c r="L29" s="28">
        <f>+K29/12</f>
        <v>0</v>
      </c>
      <c r="M29" s="29">
        <f>+(K29/7)/C29</f>
        <v>0</v>
      </c>
      <c r="N29" s="27"/>
    </row>
    <row r="30" spans="2:14" x14ac:dyDescent="0.25">
      <c r="B30" s="47" t="str">
        <f t="shared" si="8"/>
        <v>March</v>
      </c>
      <c r="C30" s="35"/>
      <c r="D30" s="33">
        <f>+D28+7</f>
        <v>15</v>
      </c>
      <c r="E30" s="33">
        <f t="shared" ref="E30:J30" si="10">+E28+7</f>
        <v>16</v>
      </c>
      <c r="F30" s="33">
        <f t="shared" si="10"/>
        <v>17</v>
      </c>
      <c r="G30" s="33">
        <f t="shared" si="10"/>
        <v>18</v>
      </c>
      <c r="H30" s="33">
        <f t="shared" si="10"/>
        <v>19</v>
      </c>
      <c r="I30" s="33">
        <f t="shared" si="10"/>
        <v>20</v>
      </c>
      <c r="J30" s="48">
        <f t="shared" si="10"/>
        <v>21</v>
      </c>
      <c r="K30" s="27"/>
      <c r="L30" s="28"/>
      <c r="M30" s="27"/>
    </row>
    <row r="31" spans="2:14" x14ac:dyDescent="0.25">
      <c r="B31" s="49">
        <f t="shared" si="8"/>
        <v>2012</v>
      </c>
      <c r="C31" s="36">
        <f>+C29</f>
        <v>100</v>
      </c>
      <c r="D31" s="34"/>
      <c r="E31" s="34"/>
      <c r="F31" s="34"/>
      <c r="G31" s="34"/>
      <c r="H31" s="34"/>
      <c r="I31" s="34"/>
      <c r="J31" s="46"/>
      <c r="K31" s="32">
        <f>SUM(D31:J31)</f>
        <v>0</v>
      </c>
      <c r="L31" s="28">
        <f>+K31/12</f>
        <v>0</v>
      </c>
      <c r="M31" s="29">
        <f>+(K31/7)/C31</f>
        <v>0</v>
      </c>
      <c r="N31" s="27"/>
    </row>
    <row r="32" spans="2:14" x14ac:dyDescent="0.25">
      <c r="B32" s="47" t="str">
        <f t="shared" si="8"/>
        <v>March</v>
      </c>
      <c r="C32" s="35"/>
      <c r="D32" s="33">
        <f>+D30+7</f>
        <v>22</v>
      </c>
      <c r="E32" s="33">
        <f t="shared" ref="E32:J32" si="11">+E30+7</f>
        <v>23</v>
      </c>
      <c r="F32" s="33">
        <f t="shared" si="11"/>
        <v>24</v>
      </c>
      <c r="G32" s="33">
        <f t="shared" si="11"/>
        <v>25</v>
      </c>
      <c r="H32" s="33">
        <f t="shared" si="11"/>
        <v>26</v>
      </c>
      <c r="I32" s="33">
        <f t="shared" si="11"/>
        <v>27</v>
      </c>
      <c r="J32" s="48">
        <f t="shared" si="11"/>
        <v>28</v>
      </c>
      <c r="K32" s="27"/>
      <c r="L32" s="28"/>
      <c r="M32" s="27"/>
    </row>
    <row r="33" spans="2:14" x14ac:dyDescent="0.25">
      <c r="B33" s="49">
        <f t="shared" si="8"/>
        <v>2012</v>
      </c>
      <c r="C33" s="36">
        <f>+C31</f>
        <v>100</v>
      </c>
      <c r="D33" s="34"/>
      <c r="E33" s="34"/>
      <c r="F33" s="34"/>
      <c r="G33" s="34"/>
      <c r="H33" s="34"/>
      <c r="I33" s="34"/>
      <c r="J33" s="46"/>
      <c r="K33">
        <f>SUM(D33:J33)</f>
        <v>0</v>
      </c>
      <c r="L33" s="28">
        <f>+K33/12</f>
        <v>0</v>
      </c>
      <c r="M33" s="29">
        <f>+(K33/7)/C33</f>
        <v>0</v>
      </c>
      <c r="N33" s="27"/>
    </row>
    <row r="34" spans="2:14" x14ac:dyDescent="0.25">
      <c r="B34" s="47" t="str">
        <f t="shared" si="8"/>
        <v>March</v>
      </c>
      <c r="C34" s="35"/>
      <c r="D34" s="33">
        <f>+D32+7</f>
        <v>29</v>
      </c>
      <c r="E34" s="33">
        <f>+E32+7</f>
        <v>30</v>
      </c>
      <c r="F34" s="33">
        <f>+F32+7</f>
        <v>31</v>
      </c>
      <c r="G34" s="37"/>
      <c r="H34" s="37"/>
      <c r="I34" s="37"/>
      <c r="J34" s="50"/>
      <c r="K34" s="27"/>
      <c r="L34" s="28"/>
      <c r="M34" s="27"/>
    </row>
    <row r="35" spans="2:14" x14ac:dyDescent="0.25">
      <c r="B35" s="49">
        <f t="shared" si="8"/>
        <v>2012</v>
      </c>
      <c r="C35" s="36">
        <f>+C33</f>
        <v>100</v>
      </c>
      <c r="D35" s="34"/>
      <c r="E35" s="34"/>
      <c r="F35" s="34"/>
      <c r="G35" s="36"/>
      <c r="H35" s="36"/>
      <c r="I35" s="36"/>
      <c r="J35" s="51"/>
      <c r="K35">
        <f>SUM(D35:J35)</f>
        <v>0</v>
      </c>
      <c r="L35" s="28">
        <f>+K35/12</f>
        <v>0</v>
      </c>
      <c r="M35" s="29" t="e">
        <f>+(K35/N35)/C35</f>
        <v>#DIV/0!</v>
      </c>
      <c r="N35">
        <f>7-(COUNTBLANK(D35:J35))</f>
        <v>0</v>
      </c>
    </row>
    <row r="36" spans="2:14" x14ac:dyDescent="0.25">
      <c r="B36" s="52"/>
      <c r="C36" s="38"/>
      <c r="D36" s="39"/>
      <c r="E36" s="39"/>
      <c r="F36" s="39"/>
      <c r="G36" s="40"/>
      <c r="H36" s="39"/>
      <c r="I36" s="39"/>
      <c r="J36" s="53"/>
      <c r="K36" s="27">
        <f>+K35+K33+K31+K29+K27</f>
        <v>0</v>
      </c>
      <c r="L36" s="28">
        <f>+K36/12</f>
        <v>0</v>
      </c>
      <c r="M36" s="31" t="e">
        <f>AVERAGE(M27:M35)</f>
        <v>#DIV/0!</v>
      </c>
    </row>
    <row r="38" spans="2:14" ht="13.8" x14ac:dyDescent="0.3">
      <c r="B38" s="41" t="s">
        <v>38</v>
      </c>
      <c r="C38" s="42" t="s">
        <v>31</v>
      </c>
      <c r="D38" s="43">
        <v>1</v>
      </c>
      <c r="E38" s="43">
        <v>2</v>
      </c>
      <c r="F38" s="43">
        <v>3</v>
      </c>
      <c r="G38" s="43">
        <v>4</v>
      </c>
      <c r="H38" s="43">
        <v>5</v>
      </c>
      <c r="I38" s="43">
        <v>6</v>
      </c>
      <c r="J38" s="44">
        <v>7</v>
      </c>
      <c r="K38" s="27" t="s">
        <v>32</v>
      </c>
      <c r="L38" s="27" t="s">
        <v>33</v>
      </c>
      <c r="M38" s="27" t="s">
        <v>34</v>
      </c>
    </row>
    <row r="39" spans="2:14" x14ac:dyDescent="0.25">
      <c r="B39" s="45">
        <v>2012</v>
      </c>
      <c r="C39" s="34">
        <v>100</v>
      </c>
      <c r="D39" s="34"/>
      <c r="E39" s="34"/>
      <c r="F39" s="34"/>
      <c r="G39" s="34"/>
      <c r="H39" s="34"/>
      <c r="I39" s="34"/>
      <c r="J39" s="46"/>
      <c r="K39">
        <f>SUM(D39:J39)</f>
        <v>0</v>
      </c>
      <c r="L39" s="28">
        <f>+K39/12</f>
        <v>0</v>
      </c>
      <c r="M39" s="29">
        <f>+(K39/7)/C39</f>
        <v>0</v>
      </c>
      <c r="N39" s="27"/>
    </row>
    <row r="40" spans="2:14" x14ac:dyDescent="0.25">
      <c r="B40" s="47" t="str">
        <f t="shared" ref="B40:B47" si="12">+B38</f>
        <v>April</v>
      </c>
      <c r="C40" s="35"/>
      <c r="D40" s="33">
        <f>+D38+7</f>
        <v>8</v>
      </c>
      <c r="E40" s="33">
        <f t="shared" ref="E40:J40" si="13">+E38+7</f>
        <v>9</v>
      </c>
      <c r="F40" s="33">
        <f t="shared" si="13"/>
        <v>10</v>
      </c>
      <c r="G40" s="33">
        <f t="shared" si="13"/>
        <v>11</v>
      </c>
      <c r="H40" s="33">
        <f t="shared" si="13"/>
        <v>12</v>
      </c>
      <c r="I40" s="33">
        <f t="shared" si="13"/>
        <v>13</v>
      </c>
      <c r="J40" s="48">
        <f t="shared" si="13"/>
        <v>14</v>
      </c>
      <c r="K40" s="27"/>
      <c r="L40" s="28"/>
      <c r="M40" s="27"/>
    </row>
    <row r="41" spans="2:14" x14ac:dyDescent="0.25">
      <c r="B41" s="49">
        <f t="shared" si="12"/>
        <v>2012</v>
      </c>
      <c r="C41" s="36">
        <f>+C39</f>
        <v>100</v>
      </c>
      <c r="D41" s="34"/>
      <c r="E41" s="34"/>
      <c r="F41" s="34"/>
      <c r="G41" s="34"/>
      <c r="H41" s="34"/>
      <c r="I41" s="34"/>
      <c r="J41" s="46"/>
      <c r="K41">
        <f>SUM(D41:J41)</f>
        <v>0</v>
      </c>
      <c r="L41" s="28">
        <f>+K41/12</f>
        <v>0</v>
      </c>
      <c r="M41" s="29">
        <f>+(K41/7)/C41</f>
        <v>0</v>
      </c>
      <c r="N41" s="27"/>
    </row>
    <row r="42" spans="2:14" x14ac:dyDescent="0.25">
      <c r="B42" s="47" t="str">
        <f t="shared" si="12"/>
        <v>April</v>
      </c>
      <c r="C42" s="35"/>
      <c r="D42" s="33">
        <f>+D40+7</f>
        <v>15</v>
      </c>
      <c r="E42" s="33">
        <f t="shared" ref="E42:J42" si="14">+E40+7</f>
        <v>16</v>
      </c>
      <c r="F42" s="33">
        <f t="shared" si="14"/>
        <v>17</v>
      </c>
      <c r="G42" s="33">
        <f t="shared" si="14"/>
        <v>18</v>
      </c>
      <c r="H42" s="33">
        <f t="shared" si="14"/>
        <v>19</v>
      </c>
      <c r="I42" s="33">
        <f t="shared" si="14"/>
        <v>20</v>
      </c>
      <c r="J42" s="48">
        <f t="shared" si="14"/>
        <v>21</v>
      </c>
      <c r="K42" s="27"/>
      <c r="L42" s="28"/>
      <c r="M42" s="27"/>
    </row>
    <row r="43" spans="2:14" x14ac:dyDescent="0.25">
      <c r="B43" s="49">
        <f t="shared" si="12"/>
        <v>2012</v>
      </c>
      <c r="C43" s="36">
        <f>+C41</f>
        <v>100</v>
      </c>
      <c r="D43" s="34"/>
      <c r="E43" s="34"/>
      <c r="F43" s="34"/>
      <c r="G43" s="34"/>
      <c r="H43" s="34"/>
      <c r="I43" s="34"/>
      <c r="J43" s="46"/>
      <c r="K43" s="32">
        <f>SUM(D43:J43)</f>
        <v>0</v>
      </c>
      <c r="L43" s="28">
        <f>+K43/12</f>
        <v>0</v>
      </c>
      <c r="M43" s="29">
        <f>+(K43/7)/C43</f>
        <v>0</v>
      </c>
      <c r="N43" s="27"/>
    </row>
    <row r="44" spans="2:14" x14ac:dyDescent="0.25">
      <c r="B44" s="47" t="str">
        <f t="shared" si="12"/>
        <v>April</v>
      </c>
      <c r="C44" s="35"/>
      <c r="D44" s="33">
        <f>+D42+7</f>
        <v>22</v>
      </c>
      <c r="E44" s="33">
        <f t="shared" ref="E44:J44" si="15">+E42+7</f>
        <v>23</v>
      </c>
      <c r="F44" s="33">
        <f t="shared" si="15"/>
        <v>24</v>
      </c>
      <c r="G44" s="33">
        <f t="shared" si="15"/>
        <v>25</v>
      </c>
      <c r="H44" s="33">
        <f t="shared" si="15"/>
        <v>26</v>
      </c>
      <c r="I44" s="33">
        <f t="shared" si="15"/>
        <v>27</v>
      </c>
      <c r="J44" s="48">
        <f t="shared" si="15"/>
        <v>28</v>
      </c>
      <c r="K44" s="27"/>
      <c r="L44" s="28"/>
      <c r="M44" s="27"/>
    </row>
    <row r="45" spans="2:14" x14ac:dyDescent="0.25">
      <c r="B45" s="49">
        <f t="shared" si="12"/>
        <v>2012</v>
      </c>
      <c r="C45" s="36">
        <f>+C43</f>
        <v>100</v>
      </c>
      <c r="D45" s="34"/>
      <c r="E45" s="34"/>
      <c r="F45" s="34"/>
      <c r="G45" s="34"/>
      <c r="H45" s="34"/>
      <c r="I45" s="34"/>
      <c r="J45" s="46"/>
      <c r="K45">
        <f>SUM(D45:J45)</f>
        <v>0</v>
      </c>
      <c r="L45" s="28">
        <f>+K45/12</f>
        <v>0</v>
      </c>
      <c r="M45" s="29">
        <f>+(K45/7)/C45</f>
        <v>0</v>
      </c>
      <c r="N45" s="27"/>
    </row>
    <row r="46" spans="2:14" x14ac:dyDescent="0.25">
      <c r="B46" s="47" t="str">
        <f t="shared" si="12"/>
        <v>April</v>
      </c>
      <c r="C46" s="35"/>
      <c r="D46" s="33">
        <f>+D44+7</f>
        <v>29</v>
      </c>
      <c r="E46" s="33">
        <f>+E44+7</f>
        <v>30</v>
      </c>
      <c r="F46" s="33"/>
      <c r="G46" s="37"/>
      <c r="H46" s="37"/>
      <c r="I46" s="37"/>
      <c r="J46" s="50"/>
      <c r="K46" s="27"/>
      <c r="L46" s="28"/>
      <c r="M46" s="27"/>
    </row>
    <row r="47" spans="2:14" x14ac:dyDescent="0.25">
      <c r="B47" s="49">
        <f t="shared" si="12"/>
        <v>2012</v>
      </c>
      <c r="C47" s="36">
        <f>+C45</f>
        <v>100</v>
      </c>
      <c r="D47" s="34"/>
      <c r="E47" s="34"/>
      <c r="F47" s="54"/>
      <c r="G47" s="36"/>
      <c r="H47" s="36"/>
      <c r="I47" s="36"/>
      <c r="J47" s="51"/>
      <c r="K47">
        <f>SUM(D47:J47)</f>
        <v>0</v>
      </c>
      <c r="L47" s="28">
        <f>+K47/12</f>
        <v>0</v>
      </c>
      <c r="M47" s="29" t="e">
        <f>+(K47/N47)/C47</f>
        <v>#DIV/0!</v>
      </c>
      <c r="N47">
        <f>7-(COUNTBLANK(D47:J47))</f>
        <v>0</v>
      </c>
    </row>
    <row r="48" spans="2:14" x14ac:dyDescent="0.25">
      <c r="B48" s="52"/>
      <c r="C48" s="38"/>
      <c r="D48" s="39"/>
      <c r="E48" s="39"/>
      <c r="F48" s="39"/>
      <c r="G48" s="40"/>
      <c r="H48" s="39"/>
      <c r="I48" s="39"/>
      <c r="J48" s="53"/>
      <c r="K48" s="27">
        <f>+K47+K45+K43+K41+K39</f>
        <v>0</v>
      </c>
      <c r="L48" s="28">
        <f>+K48/12</f>
        <v>0</v>
      </c>
      <c r="M48" s="31" t="e">
        <f>AVERAGE(M39:M47)</f>
        <v>#DIV/0!</v>
      </c>
    </row>
    <row r="50" spans="2:14" ht="13.8" x14ac:dyDescent="0.3">
      <c r="B50" s="41" t="s">
        <v>39</v>
      </c>
      <c r="C50" s="42" t="s">
        <v>31</v>
      </c>
      <c r="D50" s="43">
        <v>1</v>
      </c>
      <c r="E50" s="43">
        <v>2</v>
      </c>
      <c r="F50" s="43">
        <v>3</v>
      </c>
      <c r="G50" s="43">
        <v>4</v>
      </c>
      <c r="H50" s="43">
        <v>5</v>
      </c>
      <c r="I50" s="43">
        <v>6</v>
      </c>
      <c r="J50" s="44">
        <v>7</v>
      </c>
      <c r="K50" s="27" t="s">
        <v>32</v>
      </c>
      <c r="L50" s="27" t="s">
        <v>33</v>
      </c>
      <c r="M50" s="27" t="s">
        <v>34</v>
      </c>
    </row>
    <row r="51" spans="2:14" x14ac:dyDescent="0.25">
      <c r="B51" s="45">
        <v>2012</v>
      </c>
      <c r="C51" s="34">
        <v>100</v>
      </c>
      <c r="D51" s="34"/>
      <c r="E51" s="34"/>
      <c r="F51" s="34"/>
      <c r="G51" s="34"/>
      <c r="H51" s="34"/>
      <c r="I51" s="34"/>
      <c r="J51" s="46"/>
      <c r="K51">
        <f>SUM(D51:J51)</f>
        <v>0</v>
      </c>
      <c r="L51" s="28">
        <f>+K51/12</f>
        <v>0</v>
      </c>
      <c r="M51" s="29">
        <f>+(K51/7)/C51</f>
        <v>0</v>
      </c>
      <c r="N51" s="27"/>
    </row>
    <row r="52" spans="2:14" x14ac:dyDescent="0.25">
      <c r="B52" s="47" t="str">
        <f t="shared" ref="B52:B59" si="16">+B50</f>
        <v>May</v>
      </c>
      <c r="C52" s="35"/>
      <c r="D52" s="33">
        <f>+D50+7</f>
        <v>8</v>
      </c>
      <c r="E52" s="33">
        <f t="shared" ref="E52:J52" si="17">+E50+7</f>
        <v>9</v>
      </c>
      <c r="F52" s="33">
        <f t="shared" si="17"/>
        <v>10</v>
      </c>
      <c r="G52" s="33">
        <f t="shared" si="17"/>
        <v>11</v>
      </c>
      <c r="H52" s="33">
        <f t="shared" si="17"/>
        <v>12</v>
      </c>
      <c r="I52" s="33">
        <f t="shared" si="17"/>
        <v>13</v>
      </c>
      <c r="J52" s="48">
        <f t="shared" si="17"/>
        <v>14</v>
      </c>
      <c r="K52" s="27"/>
      <c r="L52" s="28"/>
      <c r="M52" s="27"/>
    </row>
    <row r="53" spans="2:14" x14ac:dyDescent="0.25">
      <c r="B53" s="49">
        <f t="shared" si="16"/>
        <v>2012</v>
      </c>
      <c r="C53" s="36">
        <f>+C51</f>
        <v>100</v>
      </c>
      <c r="D53" s="34"/>
      <c r="E53" s="34"/>
      <c r="F53" s="34"/>
      <c r="G53" s="34"/>
      <c r="H53" s="34"/>
      <c r="I53" s="34"/>
      <c r="J53" s="46"/>
      <c r="K53">
        <f>SUM(D53:J53)</f>
        <v>0</v>
      </c>
      <c r="L53" s="28">
        <f>+K53/12</f>
        <v>0</v>
      </c>
      <c r="M53" s="29">
        <f>+(K53/7)/C53</f>
        <v>0</v>
      </c>
      <c r="N53" s="27"/>
    </row>
    <row r="54" spans="2:14" x14ac:dyDescent="0.25">
      <c r="B54" s="47" t="str">
        <f t="shared" si="16"/>
        <v>May</v>
      </c>
      <c r="C54" s="35"/>
      <c r="D54" s="33">
        <f>+D52+7</f>
        <v>15</v>
      </c>
      <c r="E54" s="33">
        <f t="shared" ref="E54:J54" si="18">+E52+7</f>
        <v>16</v>
      </c>
      <c r="F54" s="33">
        <f t="shared" si="18"/>
        <v>17</v>
      </c>
      <c r="G54" s="33">
        <f t="shared" si="18"/>
        <v>18</v>
      </c>
      <c r="H54" s="33">
        <f t="shared" si="18"/>
        <v>19</v>
      </c>
      <c r="I54" s="33">
        <f t="shared" si="18"/>
        <v>20</v>
      </c>
      <c r="J54" s="48">
        <f t="shared" si="18"/>
        <v>21</v>
      </c>
      <c r="K54" s="27"/>
      <c r="L54" s="28"/>
      <c r="M54" s="27"/>
    </row>
    <row r="55" spans="2:14" x14ac:dyDescent="0.25">
      <c r="B55" s="49">
        <f t="shared" si="16"/>
        <v>2012</v>
      </c>
      <c r="C55" s="36">
        <f>+C53</f>
        <v>100</v>
      </c>
      <c r="D55" s="34"/>
      <c r="E55" s="34"/>
      <c r="F55" s="34"/>
      <c r="G55" s="34"/>
      <c r="H55" s="34"/>
      <c r="I55" s="34"/>
      <c r="J55" s="46"/>
      <c r="K55" s="32">
        <f>SUM(D55:J55)</f>
        <v>0</v>
      </c>
      <c r="L55" s="28">
        <f>+K55/12</f>
        <v>0</v>
      </c>
      <c r="M55" s="29">
        <f>+(K55/7)/C55</f>
        <v>0</v>
      </c>
      <c r="N55" s="27"/>
    </row>
    <row r="56" spans="2:14" x14ac:dyDescent="0.25">
      <c r="B56" s="47" t="str">
        <f t="shared" si="16"/>
        <v>May</v>
      </c>
      <c r="C56" s="35"/>
      <c r="D56" s="33">
        <f>+D54+7</f>
        <v>22</v>
      </c>
      <c r="E56" s="33">
        <f t="shared" ref="E56:J56" si="19">+E54+7</f>
        <v>23</v>
      </c>
      <c r="F56" s="33">
        <f t="shared" si="19"/>
        <v>24</v>
      </c>
      <c r="G56" s="33">
        <f t="shared" si="19"/>
        <v>25</v>
      </c>
      <c r="H56" s="33">
        <f t="shared" si="19"/>
        <v>26</v>
      </c>
      <c r="I56" s="33">
        <f t="shared" si="19"/>
        <v>27</v>
      </c>
      <c r="J56" s="48">
        <f t="shared" si="19"/>
        <v>28</v>
      </c>
      <c r="K56" s="27"/>
      <c r="L56" s="28"/>
      <c r="M56" s="27"/>
    </row>
    <row r="57" spans="2:14" x14ac:dyDescent="0.25">
      <c r="B57" s="49">
        <f t="shared" si="16"/>
        <v>2012</v>
      </c>
      <c r="C57" s="36">
        <f>+C55</f>
        <v>100</v>
      </c>
      <c r="D57" s="34"/>
      <c r="E57" s="34"/>
      <c r="F57" s="34"/>
      <c r="G57" s="34"/>
      <c r="H57" s="34"/>
      <c r="I57" s="34"/>
      <c r="J57" s="46"/>
      <c r="K57">
        <f>SUM(D57:J57)</f>
        <v>0</v>
      </c>
      <c r="L57" s="28">
        <f>+K57/12</f>
        <v>0</v>
      </c>
      <c r="M57" s="29">
        <f>+(K57/7)/C57</f>
        <v>0</v>
      </c>
      <c r="N57" s="27"/>
    </row>
    <row r="58" spans="2:14" x14ac:dyDescent="0.25">
      <c r="B58" s="47" t="str">
        <f t="shared" si="16"/>
        <v>May</v>
      </c>
      <c r="C58" s="35"/>
      <c r="D58" s="33">
        <f>+D56+7</f>
        <v>29</v>
      </c>
      <c r="E58" s="33">
        <f>+E56+7</f>
        <v>30</v>
      </c>
      <c r="F58" s="33">
        <f>+F56+7</f>
        <v>31</v>
      </c>
      <c r="G58" s="37"/>
      <c r="H58" s="37"/>
      <c r="I58" s="37"/>
      <c r="J58" s="50"/>
      <c r="K58" s="27"/>
      <c r="L58" s="28"/>
      <c r="M58" s="27"/>
    </row>
    <row r="59" spans="2:14" x14ac:dyDescent="0.25">
      <c r="B59" s="49">
        <f t="shared" si="16"/>
        <v>2012</v>
      </c>
      <c r="C59" s="36">
        <f>+C57</f>
        <v>100</v>
      </c>
      <c r="D59" s="34"/>
      <c r="E59" s="34"/>
      <c r="F59" s="34"/>
      <c r="G59" s="36"/>
      <c r="H59" s="36"/>
      <c r="I59" s="36"/>
      <c r="J59" s="51"/>
      <c r="K59">
        <f>SUM(D59:J59)</f>
        <v>0</v>
      </c>
      <c r="L59" s="28">
        <f>+K59/12</f>
        <v>0</v>
      </c>
      <c r="M59" s="29" t="e">
        <f>+(K59/N59)/C59</f>
        <v>#DIV/0!</v>
      </c>
      <c r="N59">
        <f>7-(COUNTBLANK(D59:J59))</f>
        <v>0</v>
      </c>
    </row>
    <row r="60" spans="2:14" x14ac:dyDescent="0.25">
      <c r="B60" s="52"/>
      <c r="C60" s="38"/>
      <c r="D60" s="39"/>
      <c r="E60" s="39"/>
      <c r="F60" s="39"/>
      <c r="G60" s="40"/>
      <c r="H60" s="39"/>
      <c r="I60" s="39"/>
      <c r="J60" s="53"/>
      <c r="K60" s="27">
        <f>+K59+K57+K55+K53+K51</f>
        <v>0</v>
      </c>
      <c r="L60" s="28">
        <f>+K60/12</f>
        <v>0</v>
      </c>
      <c r="M60" s="31" t="e">
        <f>AVERAGE(M51:M59)</f>
        <v>#DIV/0!</v>
      </c>
    </row>
    <row r="62" spans="2:14" ht="13.8" x14ac:dyDescent="0.3">
      <c r="B62" s="41" t="s">
        <v>40</v>
      </c>
      <c r="C62" s="42" t="s">
        <v>31</v>
      </c>
      <c r="D62" s="43">
        <v>1</v>
      </c>
      <c r="E62" s="43">
        <v>2</v>
      </c>
      <c r="F62" s="43">
        <v>3</v>
      </c>
      <c r="G62" s="43">
        <v>4</v>
      </c>
      <c r="H62" s="43">
        <v>5</v>
      </c>
      <c r="I62" s="43">
        <v>6</v>
      </c>
      <c r="J62" s="44">
        <v>7</v>
      </c>
      <c r="K62" s="27" t="s">
        <v>32</v>
      </c>
      <c r="L62" s="27" t="s">
        <v>33</v>
      </c>
      <c r="M62" s="27" t="s">
        <v>34</v>
      </c>
    </row>
    <row r="63" spans="2:14" x14ac:dyDescent="0.25">
      <c r="B63" s="45">
        <v>2012</v>
      </c>
      <c r="C63" s="34">
        <v>100</v>
      </c>
      <c r="D63" s="34"/>
      <c r="E63" s="34"/>
      <c r="F63" s="34"/>
      <c r="G63" s="34"/>
      <c r="H63" s="34"/>
      <c r="I63" s="34"/>
      <c r="J63" s="46"/>
      <c r="K63">
        <f>SUM(D63:J63)</f>
        <v>0</v>
      </c>
      <c r="L63" s="28">
        <f>+K63/12</f>
        <v>0</v>
      </c>
      <c r="M63" s="29">
        <f>+(K63/7)/C63</f>
        <v>0</v>
      </c>
      <c r="N63" s="27"/>
    </row>
    <row r="64" spans="2:14" x14ac:dyDescent="0.25">
      <c r="B64" s="47" t="str">
        <f t="shared" ref="B64:B71" si="20">+B62</f>
        <v>June</v>
      </c>
      <c r="C64" s="35"/>
      <c r="D64" s="33">
        <f>+D62+7</f>
        <v>8</v>
      </c>
      <c r="E64" s="33">
        <f t="shared" ref="E64:J64" si="21">+E62+7</f>
        <v>9</v>
      </c>
      <c r="F64" s="33">
        <f t="shared" si="21"/>
        <v>10</v>
      </c>
      <c r="G64" s="33">
        <f t="shared" si="21"/>
        <v>11</v>
      </c>
      <c r="H64" s="33">
        <f t="shared" si="21"/>
        <v>12</v>
      </c>
      <c r="I64" s="33">
        <f t="shared" si="21"/>
        <v>13</v>
      </c>
      <c r="J64" s="48">
        <f t="shared" si="21"/>
        <v>14</v>
      </c>
      <c r="K64" s="27"/>
      <c r="L64" s="28"/>
      <c r="M64" s="27"/>
    </row>
    <row r="65" spans="2:14" x14ac:dyDescent="0.25">
      <c r="B65" s="49">
        <f t="shared" si="20"/>
        <v>2012</v>
      </c>
      <c r="C65" s="36">
        <f>+C63</f>
        <v>100</v>
      </c>
      <c r="D65" s="34"/>
      <c r="E65" s="34"/>
      <c r="F65" s="34"/>
      <c r="G65" s="34"/>
      <c r="H65" s="34"/>
      <c r="I65" s="34"/>
      <c r="J65" s="46"/>
      <c r="K65">
        <f>SUM(D65:J65)</f>
        <v>0</v>
      </c>
      <c r="L65" s="28">
        <f>+K65/12</f>
        <v>0</v>
      </c>
      <c r="M65" s="29">
        <f>+(K65/7)/C65</f>
        <v>0</v>
      </c>
      <c r="N65" s="27"/>
    </row>
    <row r="66" spans="2:14" x14ac:dyDescent="0.25">
      <c r="B66" s="47" t="str">
        <f t="shared" si="20"/>
        <v>June</v>
      </c>
      <c r="C66" s="35"/>
      <c r="D66" s="33">
        <f>+D64+7</f>
        <v>15</v>
      </c>
      <c r="E66" s="33">
        <f t="shared" ref="E66:J66" si="22">+E64+7</f>
        <v>16</v>
      </c>
      <c r="F66" s="33">
        <f t="shared" si="22"/>
        <v>17</v>
      </c>
      <c r="G66" s="33">
        <f t="shared" si="22"/>
        <v>18</v>
      </c>
      <c r="H66" s="33">
        <f t="shared" si="22"/>
        <v>19</v>
      </c>
      <c r="I66" s="33">
        <f t="shared" si="22"/>
        <v>20</v>
      </c>
      <c r="J66" s="48">
        <f t="shared" si="22"/>
        <v>21</v>
      </c>
      <c r="K66" s="27"/>
      <c r="L66" s="28"/>
      <c r="M66" s="27"/>
    </row>
    <row r="67" spans="2:14" x14ac:dyDescent="0.25">
      <c r="B67" s="49">
        <f t="shared" si="20"/>
        <v>2012</v>
      </c>
      <c r="C67" s="36">
        <f>+C65</f>
        <v>100</v>
      </c>
      <c r="D67" s="34"/>
      <c r="E67" s="34"/>
      <c r="F67" s="34"/>
      <c r="G67" s="34"/>
      <c r="H67" s="34"/>
      <c r="I67" s="34"/>
      <c r="J67" s="46"/>
      <c r="K67" s="32">
        <f>SUM(D67:J67)</f>
        <v>0</v>
      </c>
      <c r="L67" s="28">
        <f>+K67/12</f>
        <v>0</v>
      </c>
      <c r="M67" s="29">
        <f>+(K67/7)/C67</f>
        <v>0</v>
      </c>
      <c r="N67" s="27"/>
    </row>
    <row r="68" spans="2:14" x14ac:dyDescent="0.25">
      <c r="B68" s="47" t="str">
        <f t="shared" si="20"/>
        <v>June</v>
      </c>
      <c r="C68" s="35"/>
      <c r="D68" s="33">
        <f>+D66+7</f>
        <v>22</v>
      </c>
      <c r="E68" s="33">
        <f t="shared" ref="E68:J68" si="23">+E66+7</f>
        <v>23</v>
      </c>
      <c r="F68" s="33">
        <f t="shared" si="23"/>
        <v>24</v>
      </c>
      <c r="G68" s="33">
        <f t="shared" si="23"/>
        <v>25</v>
      </c>
      <c r="H68" s="33">
        <f t="shared" si="23"/>
        <v>26</v>
      </c>
      <c r="I68" s="33">
        <f t="shared" si="23"/>
        <v>27</v>
      </c>
      <c r="J68" s="48">
        <f t="shared" si="23"/>
        <v>28</v>
      </c>
      <c r="K68" s="27"/>
      <c r="L68" s="28"/>
      <c r="M68" s="27"/>
    </row>
    <row r="69" spans="2:14" x14ac:dyDescent="0.25">
      <c r="B69" s="49">
        <f t="shared" si="20"/>
        <v>2012</v>
      </c>
      <c r="C69" s="36">
        <f>+C67</f>
        <v>100</v>
      </c>
      <c r="D69" s="34"/>
      <c r="E69" s="34"/>
      <c r="F69" s="34"/>
      <c r="G69" s="34"/>
      <c r="H69" s="34"/>
      <c r="I69" s="34"/>
      <c r="J69" s="46"/>
      <c r="K69">
        <f>SUM(D69:J69)</f>
        <v>0</v>
      </c>
      <c r="L69" s="28">
        <f>+K69/12</f>
        <v>0</v>
      </c>
      <c r="M69" s="29">
        <f>+(K69/7)/C69</f>
        <v>0</v>
      </c>
      <c r="N69" s="27"/>
    </row>
    <row r="70" spans="2:14" x14ac:dyDescent="0.25">
      <c r="B70" s="47" t="str">
        <f t="shared" si="20"/>
        <v>June</v>
      </c>
      <c r="C70" s="35"/>
      <c r="D70" s="33">
        <f>+D68+7</f>
        <v>29</v>
      </c>
      <c r="E70" s="33">
        <f>+E68+7</f>
        <v>30</v>
      </c>
      <c r="F70" s="33"/>
      <c r="G70" s="37"/>
      <c r="H70" s="37"/>
      <c r="I70" s="37"/>
      <c r="J70" s="50"/>
      <c r="K70" s="27"/>
      <c r="L70" s="28"/>
      <c r="M70" s="27"/>
    </row>
    <row r="71" spans="2:14" x14ac:dyDescent="0.25">
      <c r="B71" s="49">
        <f t="shared" si="20"/>
        <v>2012</v>
      </c>
      <c r="C71" s="36">
        <f>+C69</f>
        <v>100</v>
      </c>
      <c r="D71" s="34"/>
      <c r="E71" s="34"/>
      <c r="F71" s="54"/>
      <c r="G71" s="36"/>
      <c r="H71" s="36"/>
      <c r="I71" s="36"/>
      <c r="J71" s="51"/>
      <c r="K71">
        <f>SUM(D71:J71)</f>
        <v>0</v>
      </c>
      <c r="L71" s="28">
        <f>+K71/12</f>
        <v>0</v>
      </c>
      <c r="M71" s="29" t="e">
        <f>+(K71/N71)/C71</f>
        <v>#DIV/0!</v>
      </c>
      <c r="N71">
        <f>7-(COUNTBLANK(D71:J71))</f>
        <v>0</v>
      </c>
    </row>
    <row r="72" spans="2:14" x14ac:dyDescent="0.25">
      <c r="B72" s="52"/>
      <c r="C72" s="38"/>
      <c r="D72" s="39"/>
      <c r="E72" s="39"/>
      <c r="F72" s="39"/>
      <c r="G72" s="40"/>
      <c r="H72" s="39"/>
      <c r="I72" s="39"/>
      <c r="J72" s="53"/>
      <c r="K72" s="27">
        <f>+K71+K69+K67+K65+K63</f>
        <v>0</v>
      </c>
      <c r="L72" s="28">
        <f>+K72/12</f>
        <v>0</v>
      </c>
      <c r="M72" s="31" t="e">
        <f>AVERAGE(M63:M71)</f>
        <v>#DIV/0!</v>
      </c>
    </row>
    <row r="74" spans="2:14" ht="13.8" x14ac:dyDescent="0.3">
      <c r="B74" s="41" t="s">
        <v>41</v>
      </c>
      <c r="C74" s="42" t="s">
        <v>31</v>
      </c>
      <c r="D74" s="43">
        <v>1</v>
      </c>
      <c r="E74" s="43">
        <v>2</v>
      </c>
      <c r="F74" s="43">
        <v>3</v>
      </c>
      <c r="G74" s="43">
        <v>4</v>
      </c>
      <c r="H74" s="43">
        <v>5</v>
      </c>
      <c r="I74" s="43">
        <v>6</v>
      </c>
      <c r="J74" s="44">
        <v>7</v>
      </c>
      <c r="K74" s="27" t="s">
        <v>32</v>
      </c>
      <c r="L74" s="27" t="s">
        <v>33</v>
      </c>
      <c r="M74" s="27" t="s">
        <v>34</v>
      </c>
    </row>
    <row r="75" spans="2:14" x14ac:dyDescent="0.25">
      <c r="B75" s="45">
        <v>2012</v>
      </c>
      <c r="C75" s="34">
        <v>100</v>
      </c>
      <c r="D75" s="34"/>
      <c r="E75" s="34"/>
      <c r="F75" s="34"/>
      <c r="G75" s="34"/>
      <c r="H75" s="34"/>
      <c r="I75" s="34"/>
      <c r="J75" s="46"/>
      <c r="K75">
        <f>SUM(D75:J75)</f>
        <v>0</v>
      </c>
      <c r="L75" s="28">
        <f>+K75/12</f>
        <v>0</v>
      </c>
      <c r="M75" s="29">
        <f>+(K75/7)/C75</f>
        <v>0</v>
      </c>
      <c r="N75" s="27"/>
    </row>
    <row r="76" spans="2:14" x14ac:dyDescent="0.25">
      <c r="B76" s="47" t="str">
        <f t="shared" ref="B76:B83" si="24">+B74</f>
        <v>July</v>
      </c>
      <c r="C76" s="35"/>
      <c r="D76" s="33">
        <f>+D74+7</f>
        <v>8</v>
      </c>
      <c r="E76" s="33">
        <f t="shared" ref="E76:J76" si="25">+E74+7</f>
        <v>9</v>
      </c>
      <c r="F76" s="33">
        <f t="shared" si="25"/>
        <v>10</v>
      </c>
      <c r="G76" s="33">
        <f t="shared" si="25"/>
        <v>11</v>
      </c>
      <c r="H76" s="33">
        <f t="shared" si="25"/>
        <v>12</v>
      </c>
      <c r="I76" s="33">
        <f t="shared" si="25"/>
        <v>13</v>
      </c>
      <c r="J76" s="48">
        <f t="shared" si="25"/>
        <v>14</v>
      </c>
      <c r="K76" s="27"/>
      <c r="L76" s="28"/>
      <c r="M76" s="27"/>
    </row>
    <row r="77" spans="2:14" x14ac:dyDescent="0.25">
      <c r="B77" s="49">
        <f t="shared" si="24"/>
        <v>2012</v>
      </c>
      <c r="C77" s="36">
        <f>+C75</f>
        <v>100</v>
      </c>
      <c r="D77" s="34"/>
      <c r="E77" s="34"/>
      <c r="F77" s="34"/>
      <c r="G77" s="34"/>
      <c r="H77" s="34"/>
      <c r="I77" s="34"/>
      <c r="J77" s="46"/>
      <c r="K77">
        <f>SUM(D77:J77)</f>
        <v>0</v>
      </c>
      <c r="L77" s="28">
        <f>+K77/12</f>
        <v>0</v>
      </c>
      <c r="M77" s="29">
        <f>+(K77/7)/C77</f>
        <v>0</v>
      </c>
      <c r="N77" s="27"/>
    </row>
    <row r="78" spans="2:14" x14ac:dyDescent="0.25">
      <c r="B78" s="47" t="str">
        <f t="shared" si="24"/>
        <v>July</v>
      </c>
      <c r="C78" s="35"/>
      <c r="D78" s="33">
        <f>+D76+7</f>
        <v>15</v>
      </c>
      <c r="E78" s="33">
        <f t="shared" ref="E78:J78" si="26">+E76+7</f>
        <v>16</v>
      </c>
      <c r="F78" s="33">
        <f t="shared" si="26"/>
        <v>17</v>
      </c>
      <c r="G78" s="33">
        <f t="shared" si="26"/>
        <v>18</v>
      </c>
      <c r="H78" s="33">
        <f t="shared" si="26"/>
        <v>19</v>
      </c>
      <c r="I78" s="33">
        <f t="shared" si="26"/>
        <v>20</v>
      </c>
      <c r="J78" s="48">
        <f t="shared" si="26"/>
        <v>21</v>
      </c>
      <c r="K78" s="27"/>
      <c r="L78" s="28"/>
      <c r="M78" s="27"/>
    </row>
    <row r="79" spans="2:14" x14ac:dyDescent="0.25">
      <c r="B79" s="49">
        <f t="shared" si="24"/>
        <v>2012</v>
      </c>
      <c r="C79" s="36">
        <f>+C77</f>
        <v>100</v>
      </c>
      <c r="D79" s="34"/>
      <c r="E79" s="34"/>
      <c r="F79" s="34"/>
      <c r="G79" s="34"/>
      <c r="H79" s="34"/>
      <c r="I79" s="34"/>
      <c r="J79" s="46"/>
      <c r="K79" s="32">
        <f>SUM(D79:J79)</f>
        <v>0</v>
      </c>
      <c r="L79" s="28">
        <f>+K79/12</f>
        <v>0</v>
      </c>
      <c r="M79" s="29">
        <f>+(K79/7)/C79</f>
        <v>0</v>
      </c>
      <c r="N79" s="27"/>
    </row>
    <row r="80" spans="2:14" x14ac:dyDescent="0.25">
      <c r="B80" s="47" t="str">
        <f t="shared" si="24"/>
        <v>July</v>
      </c>
      <c r="C80" s="35"/>
      <c r="D80" s="33">
        <f>+D78+7</f>
        <v>22</v>
      </c>
      <c r="E80" s="33">
        <f t="shared" ref="E80:J80" si="27">+E78+7</f>
        <v>23</v>
      </c>
      <c r="F80" s="33">
        <f t="shared" si="27"/>
        <v>24</v>
      </c>
      <c r="G80" s="33">
        <f t="shared" si="27"/>
        <v>25</v>
      </c>
      <c r="H80" s="33">
        <f t="shared" si="27"/>
        <v>26</v>
      </c>
      <c r="I80" s="33">
        <f t="shared" si="27"/>
        <v>27</v>
      </c>
      <c r="J80" s="48">
        <f t="shared" si="27"/>
        <v>28</v>
      </c>
      <c r="K80" s="27"/>
      <c r="L80" s="28"/>
      <c r="M80" s="27"/>
    </row>
    <row r="81" spans="2:14" x14ac:dyDescent="0.25">
      <c r="B81" s="49">
        <f t="shared" si="24"/>
        <v>2012</v>
      </c>
      <c r="C81" s="36">
        <f>+C79</f>
        <v>100</v>
      </c>
      <c r="D81" s="34"/>
      <c r="E81" s="34"/>
      <c r="F81" s="34"/>
      <c r="G81" s="34"/>
      <c r="H81" s="34"/>
      <c r="I81" s="34"/>
      <c r="J81" s="46"/>
      <c r="K81">
        <f>SUM(D81:J81)</f>
        <v>0</v>
      </c>
      <c r="L81" s="28">
        <f>+K81/12</f>
        <v>0</v>
      </c>
      <c r="M81" s="29">
        <f>+(K81/7)/C81</f>
        <v>0</v>
      </c>
      <c r="N81" s="27"/>
    </row>
    <row r="82" spans="2:14" x14ac:dyDescent="0.25">
      <c r="B82" s="47" t="str">
        <f t="shared" si="24"/>
        <v>July</v>
      </c>
      <c r="C82" s="35"/>
      <c r="D82" s="33">
        <f>+D80+7</f>
        <v>29</v>
      </c>
      <c r="E82" s="33">
        <f>+E80+7</f>
        <v>30</v>
      </c>
      <c r="F82" s="33">
        <f>+F80+7</f>
        <v>31</v>
      </c>
      <c r="G82" s="37"/>
      <c r="H82" s="37"/>
      <c r="I82" s="37"/>
      <c r="J82" s="50"/>
      <c r="K82" s="27"/>
      <c r="L82" s="28"/>
      <c r="M82" s="27"/>
    </row>
    <row r="83" spans="2:14" x14ac:dyDescent="0.25">
      <c r="B83" s="49">
        <f t="shared" si="24"/>
        <v>2012</v>
      </c>
      <c r="C83" s="36">
        <f>+C81</f>
        <v>100</v>
      </c>
      <c r="D83" s="34"/>
      <c r="E83" s="34"/>
      <c r="F83" s="34"/>
      <c r="G83" s="36"/>
      <c r="H83" s="36"/>
      <c r="I83" s="36"/>
      <c r="J83" s="51"/>
      <c r="K83">
        <f>SUM(D83:J83)</f>
        <v>0</v>
      </c>
      <c r="L83" s="28">
        <f>+K83/12</f>
        <v>0</v>
      </c>
      <c r="M83" s="29" t="e">
        <f>+(K83/N83)/C83</f>
        <v>#DIV/0!</v>
      </c>
      <c r="N83">
        <f>7-(COUNTBLANK(D83:J83))</f>
        <v>0</v>
      </c>
    </row>
    <row r="84" spans="2:14" x14ac:dyDescent="0.25">
      <c r="B84" s="52"/>
      <c r="C84" s="38"/>
      <c r="D84" s="39"/>
      <c r="E84" s="39"/>
      <c r="F84" s="39"/>
      <c r="G84" s="40"/>
      <c r="H84" s="39"/>
      <c r="I84" s="39"/>
      <c r="J84" s="53"/>
      <c r="K84" s="27">
        <f>+K83+K81+K79+K77+K75</f>
        <v>0</v>
      </c>
      <c r="L84" s="28">
        <f>+K84/12</f>
        <v>0</v>
      </c>
      <c r="M84" s="31" t="e">
        <f>AVERAGE(M75:M83)</f>
        <v>#DIV/0!</v>
      </c>
    </row>
    <row r="86" spans="2:14" ht="13.8" x14ac:dyDescent="0.3">
      <c r="B86" s="41" t="s">
        <v>30</v>
      </c>
      <c r="C86" s="42" t="s">
        <v>31</v>
      </c>
      <c r="D86" s="43">
        <v>1</v>
      </c>
      <c r="E86" s="43">
        <v>2</v>
      </c>
      <c r="F86" s="43">
        <v>3</v>
      </c>
      <c r="G86" s="43">
        <v>4</v>
      </c>
      <c r="H86" s="43">
        <v>5</v>
      </c>
      <c r="I86" s="43">
        <v>6</v>
      </c>
      <c r="J86" s="44">
        <v>7</v>
      </c>
      <c r="K86" s="27" t="s">
        <v>32</v>
      </c>
      <c r="L86" s="27" t="s">
        <v>33</v>
      </c>
      <c r="M86" s="27" t="s">
        <v>34</v>
      </c>
    </row>
    <row r="87" spans="2:14" x14ac:dyDescent="0.25">
      <c r="B87" s="45">
        <v>2012</v>
      </c>
      <c r="C87" s="34">
        <v>100</v>
      </c>
      <c r="D87" s="34"/>
      <c r="E87" s="34"/>
      <c r="F87" s="34"/>
      <c r="G87" s="34"/>
      <c r="H87" s="34"/>
      <c r="I87" s="34"/>
      <c r="J87" s="46"/>
      <c r="K87">
        <f>SUM(D87:J87)</f>
        <v>0</v>
      </c>
      <c r="L87" s="28">
        <f>+K87/12</f>
        <v>0</v>
      </c>
      <c r="M87" s="29">
        <f>+(K87/7)/C87</f>
        <v>0</v>
      </c>
      <c r="N87" s="27"/>
    </row>
    <row r="88" spans="2:14" x14ac:dyDescent="0.25">
      <c r="B88" s="47" t="str">
        <f t="shared" ref="B88:B95" si="28">+B86</f>
        <v>August</v>
      </c>
      <c r="C88" s="35"/>
      <c r="D88" s="33">
        <f>+D86+7</f>
        <v>8</v>
      </c>
      <c r="E88" s="33">
        <f t="shared" ref="E88:J88" si="29">+E86+7</f>
        <v>9</v>
      </c>
      <c r="F88" s="33">
        <f t="shared" si="29"/>
        <v>10</v>
      </c>
      <c r="G88" s="33">
        <f t="shared" si="29"/>
        <v>11</v>
      </c>
      <c r="H88" s="33">
        <f t="shared" si="29"/>
        <v>12</v>
      </c>
      <c r="I88" s="33">
        <f t="shared" si="29"/>
        <v>13</v>
      </c>
      <c r="J88" s="48">
        <f t="shared" si="29"/>
        <v>14</v>
      </c>
      <c r="K88" s="27"/>
      <c r="L88" s="28"/>
      <c r="M88" s="27"/>
    </row>
    <row r="89" spans="2:14" x14ac:dyDescent="0.25">
      <c r="B89" s="49">
        <f t="shared" si="28"/>
        <v>2012</v>
      </c>
      <c r="C89" s="36">
        <f>+C87</f>
        <v>100</v>
      </c>
      <c r="D89" s="34"/>
      <c r="E89" s="34"/>
      <c r="F89" s="34"/>
      <c r="G89" s="34"/>
      <c r="H89" s="34"/>
      <c r="I89" s="34"/>
      <c r="J89" s="46"/>
      <c r="K89">
        <f>SUM(D89:J89)</f>
        <v>0</v>
      </c>
      <c r="L89" s="28">
        <f>+K89/12</f>
        <v>0</v>
      </c>
      <c r="M89" s="29">
        <f>+(K89/7)/C89</f>
        <v>0</v>
      </c>
      <c r="N89" s="27"/>
    </row>
    <row r="90" spans="2:14" x14ac:dyDescent="0.25">
      <c r="B90" s="47" t="str">
        <f t="shared" si="28"/>
        <v>August</v>
      </c>
      <c r="C90" s="35"/>
      <c r="D90" s="33">
        <f>+D88+7</f>
        <v>15</v>
      </c>
      <c r="E90" s="33">
        <f t="shared" ref="E90:J90" si="30">+E88+7</f>
        <v>16</v>
      </c>
      <c r="F90" s="33">
        <f t="shared" si="30"/>
        <v>17</v>
      </c>
      <c r="G90" s="33">
        <f t="shared" si="30"/>
        <v>18</v>
      </c>
      <c r="H90" s="33">
        <f t="shared" si="30"/>
        <v>19</v>
      </c>
      <c r="I90" s="33">
        <f t="shared" si="30"/>
        <v>20</v>
      </c>
      <c r="J90" s="48">
        <f t="shared" si="30"/>
        <v>21</v>
      </c>
      <c r="K90" s="27"/>
      <c r="L90" s="28"/>
      <c r="M90" s="27"/>
    </row>
    <row r="91" spans="2:14" x14ac:dyDescent="0.25">
      <c r="B91" s="49">
        <f t="shared" si="28"/>
        <v>2012</v>
      </c>
      <c r="C91" s="36">
        <f>+C89</f>
        <v>100</v>
      </c>
      <c r="D91" s="34"/>
      <c r="E91" s="34"/>
      <c r="F91" s="34"/>
      <c r="G91" s="34"/>
      <c r="H91" s="34"/>
      <c r="I91" s="34"/>
      <c r="J91" s="46"/>
      <c r="K91" s="32">
        <f>SUM(D91:J91)</f>
        <v>0</v>
      </c>
      <c r="L91" s="28">
        <f>+K91/12</f>
        <v>0</v>
      </c>
      <c r="M91" s="29">
        <f>+(K91/7)/C91</f>
        <v>0</v>
      </c>
      <c r="N91" s="27"/>
    </row>
    <row r="92" spans="2:14" x14ac:dyDescent="0.25">
      <c r="B92" s="47" t="str">
        <f t="shared" si="28"/>
        <v>August</v>
      </c>
      <c r="C92" s="35"/>
      <c r="D92" s="33">
        <f>+D90+7</f>
        <v>22</v>
      </c>
      <c r="E92" s="33">
        <f t="shared" ref="E92:J92" si="31">+E90+7</f>
        <v>23</v>
      </c>
      <c r="F92" s="33">
        <f t="shared" si="31"/>
        <v>24</v>
      </c>
      <c r="G92" s="33">
        <f t="shared" si="31"/>
        <v>25</v>
      </c>
      <c r="H92" s="33">
        <f t="shared" si="31"/>
        <v>26</v>
      </c>
      <c r="I92" s="33">
        <f t="shared" si="31"/>
        <v>27</v>
      </c>
      <c r="J92" s="48">
        <f t="shared" si="31"/>
        <v>28</v>
      </c>
      <c r="K92" s="27"/>
      <c r="L92" s="28"/>
      <c r="M92" s="27"/>
    </row>
    <row r="93" spans="2:14" x14ac:dyDescent="0.25">
      <c r="B93" s="49">
        <f t="shared" si="28"/>
        <v>2012</v>
      </c>
      <c r="C93" s="36">
        <f>+C91</f>
        <v>100</v>
      </c>
      <c r="D93" s="34"/>
      <c r="E93" s="34"/>
      <c r="F93" s="34"/>
      <c r="G93" s="34"/>
      <c r="H93" s="34"/>
      <c r="I93" s="34"/>
      <c r="J93" s="46"/>
      <c r="K93">
        <f>SUM(D93:J93)</f>
        <v>0</v>
      </c>
      <c r="L93" s="28">
        <f>+K93/12</f>
        <v>0</v>
      </c>
      <c r="M93" s="29">
        <f>+(K93/7)/C93</f>
        <v>0</v>
      </c>
      <c r="N93" s="27"/>
    </row>
    <row r="94" spans="2:14" x14ac:dyDescent="0.25">
      <c r="B94" s="47" t="str">
        <f t="shared" si="28"/>
        <v>August</v>
      </c>
      <c r="C94" s="35"/>
      <c r="D94" s="33">
        <f>+D92+7</f>
        <v>29</v>
      </c>
      <c r="E94" s="33">
        <f>+E92+7</f>
        <v>30</v>
      </c>
      <c r="F94" s="33">
        <f>+F92+7</f>
        <v>31</v>
      </c>
      <c r="G94" s="37"/>
      <c r="H94" s="37"/>
      <c r="I94" s="37"/>
      <c r="J94" s="50"/>
      <c r="K94" s="27"/>
      <c r="L94" s="28"/>
      <c r="M94" s="27"/>
    </row>
    <row r="95" spans="2:14" x14ac:dyDescent="0.25">
      <c r="B95" s="49">
        <f t="shared" si="28"/>
        <v>2012</v>
      </c>
      <c r="C95" s="36">
        <f>+C93</f>
        <v>100</v>
      </c>
      <c r="D95" s="34"/>
      <c r="E95" s="34"/>
      <c r="F95" s="34"/>
      <c r="G95" s="36"/>
      <c r="H95" s="36"/>
      <c r="I95" s="36"/>
      <c r="J95" s="51"/>
      <c r="K95">
        <f>SUM(D95:J95)</f>
        <v>0</v>
      </c>
      <c r="L95" s="28">
        <f>+K95/12</f>
        <v>0</v>
      </c>
      <c r="M95" s="29" t="e">
        <f>+(K95/N95)/C95</f>
        <v>#DIV/0!</v>
      </c>
      <c r="N95">
        <f>7-(COUNTBLANK(D95:J95))</f>
        <v>0</v>
      </c>
    </row>
    <row r="96" spans="2:14" x14ac:dyDescent="0.25">
      <c r="B96" s="52"/>
      <c r="C96" s="38"/>
      <c r="D96" s="39"/>
      <c r="E96" s="39"/>
      <c r="F96" s="39"/>
      <c r="G96" s="40"/>
      <c r="H96" s="39"/>
      <c r="I96" s="39"/>
      <c r="J96" s="53"/>
      <c r="K96" s="27">
        <f>+K95+K93+K91+K89+K87</f>
        <v>0</v>
      </c>
      <c r="L96" s="28">
        <f>+K96/12</f>
        <v>0</v>
      </c>
      <c r="M96" s="31" t="e">
        <f>AVERAGE(M87:M95)</f>
        <v>#DIV/0!</v>
      </c>
    </row>
    <row r="98" spans="2:14" ht="13.8" x14ac:dyDescent="0.3">
      <c r="B98" s="41" t="s">
        <v>42</v>
      </c>
      <c r="C98" s="42" t="s">
        <v>31</v>
      </c>
      <c r="D98" s="43">
        <v>1</v>
      </c>
      <c r="E98" s="43">
        <v>2</v>
      </c>
      <c r="F98" s="43">
        <v>3</v>
      </c>
      <c r="G98" s="43">
        <v>4</v>
      </c>
      <c r="H98" s="43">
        <v>5</v>
      </c>
      <c r="I98" s="43">
        <v>6</v>
      </c>
      <c r="J98" s="44">
        <v>7</v>
      </c>
      <c r="K98" s="27" t="s">
        <v>32</v>
      </c>
      <c r="L98" s="27" t="s">
        <v>33</v>
      </c>
      <c r="M98" s="27" t="s">
        <v>34</v>
      </c>
    </row>
    <row r="99" spans="2:14" x14ac:dyDescent="0.25">
      <c r="B99" s="45">
        <v>2012</v>
      </c>
      <c r="C99" s="34">
        <v>100</v>
      </c>
      <c r="D99" s="34"/>
      <c r="E99" s="34"/>
      <c r="F99" s="34"/>
      <c r="G99" s="34"/>
      <c r="H99" s="34"/>
      <c r="I99" s="34"/>
      <c r="J99" s="46"/>
      <c r="K99">
        <f>SUM(D99:J99)</f>
        <v>0</v>
      </c>
      <c r="L99" s="28">
        <f>+K99/12</f>
        <v>0</v>
      </c>
      <c r="M99" s="29">
        <f>+(K99/7)/C99</f>
        <v>0</v>
      </c>
      <c r="N99" s="27"/>
    </row>
    <row r="100" spans="2:14" x14ac:dyDescent="0.25">
      <c r="B100" s="47" t="str">
        <f t="shared" ref="B100:B107" si="32">+B98</f>
        <v>September</v>
      </c>
      <c r="C100" s="35"/>
      <c r="D100" s="33">
        <f>+D98+7</f>
        <v>8</v>
      </c>
      <c r="E100" s="33">
        <f t="shared" ref="E100:J100" si="33">+E98+7</f>
        <v>9</v>
      </c>
      <c r="F100" s="33">
        <f t="shared" si="33"/>
        <v>10</v>
      </c>
      <c r="G100" s="33">
        <f t="shared" si="33"/>
        <v>11</v>
      </c>
      <c r="H100" s="33">
        <f t="shared" si="33"/>
        <v>12</v>
      </c>
      <c r="I100" s="33">
        <f t="shared" si="33"/>
        <v>13</v>
      </c>
      <c r="J100" s="48">
        <f t="shared" si="33"/>
        <v>14</v>
      </c>
      <c r="K100" s="27"/>
      <c r="L100" s="28"/>
      <c r="M100" s="27"/>
    </row>
    <row r="101" spans="2:14" x14ac:dyDescent="0.25">
      <c r="B101" s="49">
        <f t="shared" si="32"/>
        <v>2012</v>
      </c>
      <c r="C101" s="36">
        <f>+C99</f>
        <v>100</v>
      </c>
      <c r="D101" s="34"/>
      <c r="E101" s="34"/>
      <c r="F101" s="34"/>
      <c r="G101" s="34"/>
      <c r="H101" s="34"/>
      <c r="I101" s="34"/>
      <c r="J101" s="46"/>
      <c r="K101">
        <f>SUM(D101:J101)</f>
        <v>0</v>
      </c>
      <c r="L101" s="28">
        <f>+K101/12</f>
        <v>0</v>
      </c>
      <c r="M101" s="29">
        <f>+(K101/7)/C101</f>
        <v>0</v>
      </c>
      <c r="N101" s="27"/>
    </row>
    <row r="102" spans="2:14" x14ac:dyDescent="0.25">
      <c r="B102" s="47" t="str">
        <f t="shared" si="32"/>
        <v>September</v>
      </c>
      <c r="C102" s="35"/>
      <c r="D102" s="33">
        <f>+D100+7</f>
        <v>15</v>
      </c>
      <c r="E102" s="33">
        <f t="shared" ref="E102:J102" si="34">+E100+7</f>
        <v>16</v>
      </c>
      <c r="F102" s="33">
        <f t="shared" si="34"/>
        <v>17</v>
      </c>
      <c r="G102" s="33">
        <f t="shared" si="34"/>
        <v>18</v>
      </c>
      <c r="H102" s="33">
        <f t="shared" si="34"/>
        <v>19</v>
      </c>
      <c r="I102" s="33">
        <f t="shared" si="34"/>
        <v>20</v>
      </c>
      <c r="J102" s="48">
        <f t="shared" si="34"/>
        <v>21</v>
      </c>
      <c r="K102" s="27"/>
      <c r="L102" s="28"/>
      <c r="M102" s="27"/>
    </row>
    <row r="103" spans="2:14" x14ac:dyDescent="0.25">
      <c r="B103" s="49">
        <f t="shared" si="32"/>
        <v>2012</v>
      </c>
      <c r="C103" s="36">
        <f>+C101</f>
        <v>100</v>
      </c>
      <c r="D103" s="34"/>
      <c r="E103" s="34"/>
      <c r="F103" s="34"/>
      <c r="G103" s="34"/>
      <c r="H103" s="34"/>
      <c r="I103" s="34"/>
      <c r="J103" s="46"/>
      <c r="K103" s="32">
        <f>SUM(D103:J103)</f>
        <v>0</v>
      </c>
      <c r="L103" s="28">
        <f>+K103/12</f>
        <v>0</v>
      </c>
      <c r="M103" s="29">
        <f>+(K103/7)/C103</f>
        <v>0</v>
      </c>
      <c r="N103" s="27"/>
    </row>
    <row r="104" spans="2:14" x14ac:dyDescent="0.25">
      <c r="B104" s="47" t="str">
        <f t="shared" si="32"/>
        <v>September</v>
      </c>
      <c r="C104" s="35"/>
      <c r="D104" s="33">
        <f>+D102+7</f>
        <v>22</v>
      </c>
      <c r="E104" s="33">
        <f t="shared" ref="E104:J104" si="35">+E102+7</f>
        <v>23</v>
      </c>
      <c r="F104" s="33">
        <f t="shared" si="35"/>
        <v>24</v>
      </c>
      <c r="G104" s="33">
        <f t="shared" si="35"/>
        <v>25</v>
      </c>
      <c r="H104" s="33">
        <f t="shared" si="35"/>
        <v>26</v>
      </c>
      <c r="I104" s="33">
        <f t="shared" si="35"/>
        <v>27</v>
      </c>
      <c r="J104" s="48">
        <f t="shared" si="35"/>
        <v>28</v>
      </c>
      <c r="K104" s="27"/>
      <c r="L104" s="28"/>
      <c r="M104" s="27"/>
    </row>
    <row r="105" spans="2:14" x14ac:dyDescent="0.25">
      <c r="B105" s="49">
        <f t="shared" si="32"/>
        <v>2012</v>
      </c>
      <c r="C105" s="36">
        <f>+C103</f>
        <v>100</v>
      </c>
      <c r="D105" s="34"/>
      <c r="E105" s="34"/>
      <c r="F105" s="34"/>
      <c r="G105" s="34"/>
      <c r="H105" s="34"/>
      <c r="I105" s="34"/>
      <c r="J105" s="46"/>
      <c r="K105">
        <f>SUM(D105:J105)</f>
        <v>0</v>
      </c>
      <c r="L105" s="28">
        <f>+K105/12</f>
        <v>0</v>
      </c>
      <c r="M105" s="29">
        <f>+(K105/7)/C105</f>
        <v>0</v>
      </c>
      <c r="N105" s="27"/>
    </row>
    <row r="106" spans="2:14" x14ac:dyDescent="0.25">
      <c r="B106" s="47" t="str">
        <f t="shared" si="32"/>
        <v>September</v>
      </c>
      <c r="C106" s="35"/>
      <c r="D106" s="33">
        <f>+D104+7</f>
        <v>29</v>
      </c>
      <c r="E106" s="33">
        <f>+E104+7</f>
        <v>30</v>
      </c>
      <c r="F106" s="33"/>
      <c r="G106" s="37"/>
      <c r="H106" s="37"/>
      <c r="I106" s="37"/>
      <c r="J106" s="50"/>
      <c r="K106" s="27"/>
      <c r="L106" s="28"/>
      <c r="M106" s="27"/>
    </row>
    <row r="107" spans="2:14" x14ac:dyDescent="0.25">
      <c r="B107" s="49">
        <f t="shared" si="32"/>
        <v>2012</v>
      </c>
      <c r="C107" s="36">
        <f>+C105</f>
        <v>100</v>
      </c>
      <c r="D107" s="34"/>
      <c r="E107" s="34"/>
      <c r="F107" s="54"/>
      <c r="G107" s="36"/>
      <c r="H107" s="36"/>
      <c r="I107" s="36"/>
      <c r="J107" s="51"/>
      <c r="K107">
        <f>SUM(D107:J107)</f>
        <v>0</v>
      </c>
      <c r="L107" s="28">
        <f>+K107/12</f>
        <v>0</v>
      </c>
      <c r="M107" s="29" t="e">
        <f>+(K107/N107)/C107</f>
        <v>#DIV/0!</v>
      </c>
      <c r="N107">
        <f>7-(COUNTBLANK(D107:J107))</f>
        <v>0</v>
      </c>
    </row>
    <row r="108" spans="2:14" x14ac:dyDescent="0.25">
      <c r="B108" s="52"/>
      <c r="C108" s="38"/>
      <c r="D108" s="39"/>
      <c r="E108" s="39"/>
      <c r="F108" s="39"/>
      <c r="G108" s="40"/>
      <c r="H108" s="39"/>
      <c r="I108" s="39"/>
      <c r="J108" s="53"/>
      <c r="K108" s="27">
        <f>+K107+K105+K103+K101+K99</f>
        <v>0</v>
      </c>
      <c r="L108" s="28">
        <f>+K108/12</f>
        <v>0</v>
      </c>
      <c r="M108" s="31" t="e">
        <f>AVERAGE(M99:M107)</f>
        <v>#DIV/0!</v>
      </c>
    </row>
    <row r="110" spans="2:14" ht="13.8" x14ac:dyDescent="0.3">
      <c r="B110" s="41" t="s">
        <v>43</v>
      </c>
      <c r="C110" s="42" t="s">
        <v>31</v>
      </c>
      <c r="D110" s="43">
        <v>1</v>
      </c>
      <c r="E110" s="43">
        <v>2</v>
      </c>
      <c r="F110" s="43">
        <v>3</v>
      </c>
      <c r="G110" s="43">
        <v>4</v>
      </c>
      <c r="H110" s="43">
        <v>5</v>
      </c>
      <c r="I110" s="43">
        <v>6</v>
      </c>
      <c r="J110" s="44">
        <v>7</v>
      </c>
      <c r="K110" s="27" t="s">
        <v>32</v>
      </c>
      <c r="L110" s="27" t="s">
        <v>33</v>
      </c>
      <c r="M110" s="27" t="s">
        <v>34</v>
      </c>
    </row>
    <row r="111" spans="2:14" x14ac:dyDescent="0.25">
      <c r="B111" s="45">
        <v>2012</v>
      </c>
      <c r="C111" s="34">
        <v>100</v>
      </c>
      <c r="D111" s="34"/>
      <c r="E111" s="34"/>
      <c r="F111" s="34"/>
      <c r="G111" s="34"/>
      <c r="H111" s="34"/>
      <c r="I111" s="34"/>
      <c r="J111" s="46"/>
      <c r="K111">
        <f>SUM(D111:J111)</f>
        <v>0</v>
      </c>
      <c r="L111" s="28">
        <f>+K111/12</f>
        <v>0</v>
      </c>
      <c r="M111" s="29">
        <f>+(K111/7)/C111</f>
        <v>0</v>
      </c>
      <c r="N111" s="27"/>
    </row>
    <row r="112" spans="2:14" x14ac:dyDescent="0.25">
      <c r="B112" s="47" t="str">
        <f t="shared" ref="B112:B119" si="36">+B110</f>
        <v>October</v>
      </c>
      <c r="C112" s="35"/>
      <c r="D112" s="33">
        <f>+D110+7</f>
        <v>8</v>
      </c>
      <c r="E112" s="33">
        <f t="shared" ref="E112:J112" si="37">+E110+7</f>
        <v>9</v>
      </c>
      <c r="F112" s="33">
        <f t="shared" si="37"/>
        <v>10</v>
      </c>
      <c r="G112" s="33">
        <f t="shared" si="37"/>
        <v>11</v>
      </c>
      <c r="H112" s="33">
        <f t="shared" si="37"/>
        <v>12</v>
      </c>
      <c r="I112" s="33">
        <f t="shared" si="37"/>
        <v>13</v>
      </c>
      <c r="J112" s="48">
        <f t="shared" si="37"/>
        <v>14</v>
      </c>
      <c r="K112" s="27"/>
      <c r="L112" s="28"/>
      <c r="M112" s="27"/>
    </row>
    <row r="113" spans="2:14" x14ac:dyDescent="0.25">
      <c r="B113" s="49">
        <f t="shared" si="36"/>
        <v>2012</v>
      </c>
      <c r="C113" s="36">
        <f>+C111</f>
        <v>100</v>
      </c>
      <c r="D113" s="34"/>
      <c r="E113" s="34"/>
      <c r="F113" s="34"/>
      <c r="G113" s="34"/>
      <c r="H113" s="34"/>
      <c r="I113" s="34"/>
      <c r="J113" s="46"/>
      <c r="K113">
        <f>SUM(D113:J113)</f>
        <v>0</v>
      </c>
      <c r="L113" s="28">
        <f>+K113/12</f>
        <v>0</v>
      </c>
      <c r="M113" s="29">
        <f>+(K113/7)/C113</f>
        <v>0</v>
      </c>
      <c r="N113" s="27"/>
    </row>
    <row r="114" spans="2:14" x14ac:dyDescent="0.25">
      <c r="B114" s="47" t="str">
        <f t="shared" si="36"/>
        <v>October</v>
      </c>
      <c r="C114" s="35"/>
      <c r="D114" s="33">
        <f>+D112+7</f>
        <v>15</v>
      </c>
      <c r="E114" s="33">
        <f t="shared" ref="E114:J114" si="38">+E112+7</f>
        <v>16</v>
      </c>
      <c r="F114" s="33">
        <f t="shared" si="38"/>
        <v>17</v>
      </c>
      <c r="G114" s="33">
        <f t="shared" si="38"/>
        <v>18</v>
      </c>
      <c r="H114" s="33">
        <f t="shared" si="38"/>
        <v>19</v>
      </c>
      <c r="I114" s="33">
        <f t="shared" si="38"/>
        <v>20</v>
      </c>
      <c r="J114" s="48">
        <f t="shared" si="38"/>
        <v>21</v>
      </c>
      <c r="K114" s="27"/>
      <c r="L114" s="28"/>
      <c r="M114" s="27"/>
    </row>
    <row r="115" spans="2:14" x14ac:dyDescent="0.25">
      <c r="B115" s="49">
        <f t="shared" si="36"/>
        <v>2012</v>
      </c>
      <c r="C115" s="36">
        <f>+C113</f>
        <v>100</v>
      </c>
      <c r="D115" s="34"/>
      <c r="E115" s="34"/>
      <c r="F115" s="34"/>
      <c r="G115" s="34"/>
      <c r="H115" s="34"/>
      <c r="I115" s="34"/>
      <c r="J115" s="46"/>
      <c r="K115" s="32">
        <f>SUM(D115:J115)</f>
        <v>0</v>
      </c>
      <c r="L115" s="28">
        <f>+K115/12</f>
        <v>0</v>
      </c>
      <c r="M115" s="29">
        <f>+(K115/7)/C115</f>
        <v>0</v>
      </c>
      <c r="N115" s="27"/>
    </row>
    <row r="116" spans="2:14" x14ac:dyDescent="0.25">
      <c r="B116" s="47" t="str">
        <f t="shared" si="36"/>
        <v>October</v>
      </c>
      <c r="C116" s="35"/>
      <c r="D116" s="33">
        <f>+D114+7</f>
        <v>22</v>
      </c>
      <c r="E116" s="33">
        <f t="shared" ref="E116:J116" si="39">+E114+7</f>
        <v>23</v>
      </c>
      <c r="F116" s="33">
        <f t="shared" si="39"/>
        <v>24</v>
      </c>
      <c r="G116" s="33">
        <f t="shared" si="39"/>
        <v>25</v>
      </c>
      <c r="H116" s="33">
        <f t="shared" si="39"/>
        <v>26</v>
      </c>
      <c r="I116" s="33">
        <f t="shared" si="39"/>
        <v>27</v>
      </c>
      <c r="J116" s="48">
        <f t="shared" si="39"/>
        <v>28</v>
      </c>
      <c r="K116" s="27"/>
      <c r="L116" s="28"/>
      <c r="M116" s="27"/>
    </row>
    <row r="117" spans="2:14" x14ac:dyDescent="0.25">
      <c r="B117" s="49">
        <f t="shared" si="36"/>
        <v>2012</v>
      </c>
      <c r="C117" s="36">
        <f>+C115</f>
        <v>100</v>
      </c>
      <c r="D117" s="34"/>
      <c r="E117" s="34"/>
      <c r="F117" s="34"/>
      <c r="G117" s="34"/>
      <c r="H117" s="34"/>
      <c r="I117" s="34"/>
      <c r="J117" s="46"/>
      <c r="K117">
        <f>SUM(D117:J117)</f>
        <v>0</v>
      </c>
      <c r="L117" s="28">
        <f>+K117/12</f>
        <v>0</v>
      </c>
      <c r="M117" s="29">
        <f>+(K117/7)/C117</f>
        <v>0</v>
      </c>
      <c r="N117" s="27"/>
    </row>
    <row r="118" spans="2:14" x14ac:dyDescent="0.25">
      <c r="B118" s="47" t="str">
        <f t="shared" si="36"/>
        <v>October</v>
      </c>
      <c r="C118" s="35"/>
      <c r="D118" s="33">
        <f>+D116+7</f>
        <v>29</v>
      </c>
      <c r="E118" s="33">
        <f>+E116+7</f>
        <v>30</v>
      </c>
      <c r="F118" s="33">
        <f>+F116+7</f>
        <v>31</v>
      </c>
      <c r="G118" s="37"/>
      <c r="H118" s="37"/>
      <c r="I118" s="37"/>
      <c r="J118" s="50"/>
      <c r="K118" s="27"/>
      <c r="L118" s="28"/>
      <c r="M118" s="27"/>
    </row>
    <row r="119" spans="2:14" x14ac:dyDescent="0.25">
      <c r="B119" s="49">
        <f t="shared" si="36"/>
        <v>2012</v>
      </c>
      <c r="C119" s="36">
        <f>+C117</f>
        <v>100</v>
      </c>
      <c r="D119" s="34"/>
      <c r="E119" s="34"/>
      <c r="F119" s="34"/>
      <c r="G119" s="36"/>
      <c r="H119" s="36"/>
      <c r="I119" s="36"/>
      <c r="J119" s="51"/>
      <c r="K119">
        <f>SUM(D119:J119)</f>
        <v>0</v>
      </c>
      <c r="L119" s="28">
        <f>+K119/12</f>
        <v>0</v>
      </c>
      <c r="M119" s="29" t="e">
        <f>+(K119/N119)/C119</f>
        <v>#DIV/0!</v>
      </c>
      <c r="N119">
        <f>7-(COUNTBLANK(D119:J119))</f>
        <v>0</v>
      </c>
    </row>
    <row r="120" spans="2:14" x14ac:dyDescent="0.25">
      <c r="B120" s="52"/>
      <c r="C120" s="38"/>
      <c r="D120" s="39"/>
      <c r="E120" s="39"/>
      <c r="F120" s="39"/>
      <c r="G120" s="40"/>
      <c r="H120" s="39"/>
      <c r="I120" s="39"/>
      <c r="J120" s="53"/>
      <c r="K120" s="27">
        <f>+K119+K117+K115+K113+K111</f>
        <v>0</v>
      </c>
      <c r="L120" s="28">
        <f>+K120/12</f>
        <v>0</v>
      </c>
      <c r="M120" s="31" t="e">
        <f>AVERAGE(M111:M119)</f>
        <v>#DIV/0!</v>
      </c>
    </row>
    <row r="122" spans="2:14" ht="13.8" x14ac:dyDescent="0.3">
      <c r="B122" s="41" t="s">
        <v>44</v>
      </c>
      <c r="C122" s="42" t="s">
        <v>31</v>
      </c>
      <c r="D122" s="43">
        <v>1</v>
      </c>
      <c r="E122" s="43">
        <v>2</v>
      </c>
      <c r="F122" s="43">
        <v>3</v>
      </c>
      <c r="G122" s="43">
        <v>4</v>
      </c>
      <c r="H122" s="43">
        <v>5</v>
      </c>
      <c r="I122" s="43">
        <v>6</v>
      </c>
      <c r="J122" s="44">
        <v>7</v>
      </c>
      <c r="K122" s="27" t="s">
        <v>32</v>
      </c>
      <c r="L122" s="27" t="s">
        <v>33</v>
      </c>
      <c r="M122" s="27" t="s">
        <v>34</v>
      </c>
    </row>
    <row r="123" spans="2:14" x14ac:dyDescent="0.25">
      <c r="B123" s="45">
        <v>2012</v>
      </c>
      <c r="C123" s="34">
        <v>100</v>
      </c>
      <c r="D123" s="34"/>
      <c r="E123" s="34"/>
      <c r="F123" s="34"/>
      <c r="G123" s="34"/>
      <c r="H123" s="34"/>
      <c r="I123" s="34"/>
      <c r="J123" s="46"/>
      <c r="K123">
        <f>SUM(D123:J123)</f>
        <v>0</v>
      </c>
      <c r="L123" s="28">
        <f>+K123/12</f>
        <v>0</v>
      </c>
      <c r="M123" s="29">
        <f>+(K123/7)/C123</f>
        <v>0</v>
      </c>
      <c r="N123" s="27"/>
    </row>
    <row r="124" spans="2:14" x14ac:dyDescent="0.25">
      <c r="B124" s="47" t="str">
        <f t="shared" ref="B124:B131" si="40">+B122</f>
        <v>November</v>
      </c>
      <c r="C124" s="35"/>
      <c r="D124" s="33">
        <f>+D122+7</f>
        <v>8</v>
      </c>
      <c r="E124" s="33">
        <f t="shared" ref="E124:J124" si="41">+E122+7</f>
        <v>9</v>
      </c>
      <c r="F124" s="33">
        <f t="shared" si="41"/>
        <v>10</v>
      </c>
      <c r="G124" s="33">
        <f t="shared" si="41"/>
        <v>11</v>
      </c>
      <c r="H124" s="33">
        <f t="shared" si="41"/>
        <v>12</v>
      </c>
      <c r="I124" s="33">
        <f t="shared" si="41"/>
        <v>13</v>
      </c>
      <c r="J124" s="48">
        <f t="shared" si="41"/>
        <v>14</v>
      </c>
      <c r="K124" s="27"/>
      <c r="L124" s="28"/>
      <c r="M124" s="27"/>
    </row>
    <row r="125" spans="2:14" x14ac:dyDescent="0.25">
      <c r="B125" s="49">
        <f t="shared" si="40"/>
        <v>2012</v>
      </c>
      <c r="C125" s="36">
        <f>+C123</f>
        <v>100</v>
      </c>
      <c r="D125" s="34"/>
      <c r="E125" s="34"/>
      <c r="F125" s="34"/>
      <c r="G125" s="34"/>
      <c r="H125" s="34"/>
      <c r="I125" s="34"/>
      <c r="J125" s="46"/>
      <c r="K125">
        <f>SUM(D125:J125)</f>
        <v>0</v>
      </c>
      <c r="L125" s="28">
        <f>+K125/12</f>
        <v>0</v>
      </c>
      <c r="M125" s="29">
        <f>+(K125/7)/C125</f>
        <v>0</v>
      </c>
      <c r="N125" s="27"/>
    </row>
    <row r="126" spans="2:14" x14ac:dyDescent="0.25">
      <c r="B126" s="47" t="str">
        <f t="shared" si="40"/>
        <v>November</v>
      </c>
      <c r="C126" s="35"/>
      <c r="D126" s="33">
        <f>+D124+7</f>
        <v>15</v>
      </c>
      <c r="E126" s="33">
        <f t="shared" ref="E126:J126" si="42">+E124+7</f>
        <v>16</v>
      </c>
      <c r="F126" s="33">
        <f t="shared" si="42"/>
        <v>17</v>
      </c>
      <c r="G126" s="33">
        <f t="shared" si="42"/>
        <v>18</v>
      </c>
      <c r="H126" s="33">
        <f t="shared" si="42"/>
        <v>19</v>
      </c>
      <c r="I126" s="33">
        <f t="shared" si="42"/>
        <v>20</v>
      </c>
      <c r="J126" s="48">
        <f t="shared" si="42"/>
        <v>21</v>
      </c>
      <c r="K126" s="27"/>
      <c r="L126" s="28"/>
      <c r="M126" s="27"/>
    </row>
    <row r="127" spans="2:14" x14ac:dyDescent="0.25">
      <c r="B127" s="49">
        <f t="shared" si="40"/>
        <v>2012</v>
      </c>
      <c r="C127" s="36">
        <f>+C125</f>
        <v>100</v>
      </c>
      <c r="D127" s="34"/>
      <c r="E127" s="34"/>
      <c r="F127" s="34"/>
      <c r="G127" s="34"/>
      <c r="H127" s="34"/>
      <c r="I127" s="34"/>
      <c r="J127" s="46"/>
      <c r="K127" s="32">
        <f>SUM(D127:J127)</f>
        <v>0</v>
      </c>
      <c r="L127" s="28">
        <f>+K127/12</f>
        <v>0</v>
      </c>
      <c r="M127" s="29">
        <f>+(K127/7)/C127</f>
        <v>0</v>
      </c>
      <c r="N127" s="27"/>
    </row>
    <row r="128" spans="2:14" x14ac:dyDescent="0.25">
      <c r="B128" s="47" t="str">
        <f t="shared" si="40"/>
        <v>November</v>
      </c>
      <c r="C128" s="35"/>
      <c r="D128" s="33">
        <f>+D126+7</f>
        <v>22</v>
      </c>
      <c r="E128" s="33">
        <f t="shared" ref="E128:J128" si="43">+E126+7</f>
        <v>23</v>
      </c>
      <c r="F128" s="33">
        <f t="shared" si="43"/>
        <v>24</v>
      </c>
      <c r="G128" s="33">
        <f t="shared" si="43"/>
        <v>25</v>
      </c>
      <c r="H128" s="33">
        <f t="shared" si="43"/>
        <v>26</v>
      </c>
      <c r="I128" s="33">
        <f t="shared" si="43"/>
        <v>27</v>
      </c>
      <c r="J128" s="48">
        <f t="shared" si="43"/>
        <v>28</v>
      </c>
      <c r="K128" s="27"/>
      <c r="L128" s="28"/>
      <c r="M128" s="27"/>
    </row>
    <row r="129" spans="2:14" x14ac:dyDescent="0.25">
      <c r="B129" s="49">
        <f t="shared" si="40"/>
        <v>2012</v>
      </c>
      <c r="C129" s="36">
        <f>+C127</f>
        <v>100</v>
      </c>
      <c r="D129" s="34"/>
      <c r="E129" s="34"/>
      <c r="F129" s="34"/>
      <c r="G129" s="34"/>
      <c r="H129" s="34"/>
      <c r="I129" s="34"/>
      <c r="J129" s="46"/>
      <c r="K129">
        <f>SUM(D129:J129)</f>
        <v>0</v>
      </c>
      <c r="L129" s="28">
        <f>+K129/12</f>
        <v>0</v>
      </c>
      <c r="M129" s="29">
        <f>+(K129/7)/C129</f>
        <v>0</v>
      </c>
      <c r="N129" s="27"/>
    </row>
    <row r="130" spans="2:14" x14ac:dyDescent="0.25">
      <c r="B130" s="47" t="str">
        <f t="shared" si="40"/>
        <v>November</v>
      </c>
      <c r="C130" s="35"/>
      <c r="D130" s="33">
        <f>+D128+7</f>
        <v>29</v>
      </c>
      <c r="E130" s="33">
        <f>+E128+7</f>
        <v>30</v>
      </c>
      <c r="F130" s="33"/>
      <c r="G130" s="37"/>
      <c r="H130" s="37"/>
      <c r="I130" s="37"/>
      <c r="J130" s="50"/>
      <c r="K130" s="27"/>
      <c r="L130" s="28"/>
      <c r="M130" s="27"/>
    </row>
    <row r="131" spans="2:14" x14ac:dyDescent="0.25">
      <c r="B131" s="49">
        <f t="shared" si="40"/>
        <v>2012</v>
      </c>
      <c r="C131" s="36">
        <f>+C129</f>
        <v>100</v>
      </c>
      <c r="D131" s="34"/>
      <c r="E131" s="34"/>
      <c r="F131" s="54"/>
      <c r="G131" s="36"/>
      <c r="H131" s="36"/>
      <c r="I131" s="36"/>
      <c r="J131" s="51"/>
      <c r="K131">
        <f>SUM(D131:J131)</f>
        <v>0</v>
      </c>
      <c r="L131" s="28">
        <f>+K131/12</f>
        <v>0</v>
      </c>
      <c r="M131" s="29" t="e">
        <f>+(K131/N131)/C131</f>
        <v>#DIV/0!</v>
      </c>
      <c r="N131">
        <f>7-(COUNTBLANK(D131:J131))</f>
        <v>0</v>
      </c>
    </row>
    <row r="132" spans="2:14" x14ac:dyDescent="0.25">
      <c r="B132" s="52"/>
      <c r="C132" s="38"/>
      <c r="D132" s="39"/>
      <c r="E132" s="39"/>
      <c r="F132" s="39"/>
      <c r="G132" s="40"/>
      <c r="H132" s="39"/>
      <c r="I132" s="39"/>
      <c r="J132" s="53"/>
      <c r="K132" s="27">
        <f>+K131+K129+K127+K125+K123</f>
        <v>0</v>
      </c>
      <c r="L132" s="28">
        <f>+K132/12</f>
        <v>0</v>
      </c>
      <c r="M132" s="31" t="e">
        <f>AVERAGE(M123:M131)</f>
        <v>#DIV/0!</v>
      </c>
    </row>
    <row r="134" spans="2:14" ht="13.8" x14ac:dyDescent="0.3">
      <c r="B134" s="41" t="s">
        <v>45</v>
      </c>
      <c r="C134" s="42" t="s">
        <v>31</v>
      </c>
      <c r="D134" s="43">
        <v>1</v>
      </c>
      <c r="E134" s="43">
        <v>2</v>
      </c>
      <c r="F134" s="43">
        <v>3</v>
      </c>
      <c r="G134" s="43">
        <v>4</v>
      </c>
      <c r="H134" s="43">
        <v>5</v>
      </c>
      <c r="I134" s="43">
        <v>6</v>
      </c>
      <c r="J134" s="44">
        <v>7</v>
      </c>
      <c r="K134" s="27" t="s">
        <v>32</v>
      </c>
      <c r="L134" s="27" t="s">
        <v>33</v>
      </c>
      <c r="M134" s="27" t="s">
        <v>34</v>
      </c>
    </row>
    <row r="135" spans="2:14" x14ac:dyDescent="0.25">
      <c r="B135" s="45">
        <v>2012</v>
      </c>
      <c r="C135" s="34">
        <v>100</v>
      </c>
      <c r="D135" s="34"/>
      <c r="E135" s="34"/>
      <c r="F135" s="34"/>
      <c r="G135" s="34"/>
      <c r="H135" s="34"/>
      <c r="I135" s="34"/>
      <c r="J135" s="46"/>
      <c r="K135">
        <f>SUM(D135:J135)</f>
        <v>0</v>
      </c>
      <c r="L135" s="28">
        <f>+K135/12</f>
        <v>0</v>
      </c>
      <c r="M135" s="29">
        <f>+(K135/7)/C135</f>
        <v>0</v>
      </c>
      <c r="N135" s="27"/>
    </row>
    <row r="136" spans="2:14" x14ac:dyDescent="0.25">
      <c r="B136" s="47" t="str">
        <f t="shared" ref="B136:B143" si="44">+B134</f>
        <v>December</v>
      </c>
      <c r="C136" s="35"/>
      <c r="D136" s="33">
        <f>+D134+7</f>
        <v>8</v>
      </c>
      <c r="E136" s="33">
        <f t="shared" ref="E136:J136" si="45">+E134+7</f>
        <v>9</v>
      </c>
      <c r="F136" s="33">
        <f t="shared" si="45"/>
        <v>10</v>
      </c>
      <c r="G136" s="33">
        <f t="shared" si="45"/>
        <v>11</v>
      </c>
      <c r="H136" s="33">
        <f t="shared" si="45"/>
        <v>12</v>
      </c>
      <c r="I136" s="33">
        <f t="shared" si="45"/>
        <v>13</v>
      </c>
      <c r="J136" s="48">
        <f t="shared" si="45"/>
        <v>14</v>
      </c>
      <c r="K136" s="27"/>
      <c r="L136" s="28"/>
      <c r="M136" s="27"/>
    </row>
    <row r="137" spans="2:14" x14ac:dyDescent="0.25">
      <c r="B137" s="49">
        <f t="shared" si="44"/>
        <v>2012</v>
      </c>
      <c r="C137" s="36">
        <f>+C135</f>
        <v>100</v>
      </c>
      <c r="D137" s="34"/>
      <c r="E137" s="34"/>
      <c r="F137" s="34"/>
      <c r="G137" s="34"/>
      <c r="H137" s="34"/>
      <c r="I137" s="34"/>
      <c r="J137" s="46"/>
      <c r="K137">
        <f>SUM(D137:J137)</f>
        <v>0</v>
      </c>
      <c r="L137" s="28">
        <f>+K137/12</f>
        <v>0</v>
      </c>
      <c r="M137" s="29">
        <f>+(K137/7)/C137</f>
        <v>0</v>
      </c>
      <c r="N137" s="27"/>
    </row>
    <row r="138" spans="2:14" x14ac:dyDescent="0.25">
      <c r="B138" s="47" t="str">
        <f t="shared" si="44"/>
        <v>December</v>
      </c>
      <c r="C138" s="35"/>
      <c r="D138" s="33">
        <f>+D136+7</f>
        <v>15</v>
      </c>
      <c r="E138" s="33">
        <f t="shared" ref="E138:J138" si="46">+E136+7</f>
        <v>16</v>
      </c>
      <c r="F138" s="33">
        <f t="shared" si="46"/>
        <v>17</v>
      </c>
      <c r="G138" s="33">
        <f t="shared" si="46"/>
        <v>18</v>
      </c>
      <c r="H138" s="33">
        <f t="shared" si="46"/>
        <v>19</v>
      </c>
      <c r="I138" s="33">
        <f t="shared" si="46"/>
        <v>20</v>
      </c>
      <c r="J138" s="48">
        <f t="shared" si="46"/>
        <v>21</v>
      </c>
      <c r="K138" s="27"/>
      <c r="L138" s="28"/>
      <c r="M138" s="27"/>
    </row>
    <row r="139" spans="2:14" x14ac:dyDescent="0.25">
      <c r="B139" s="49">
        <f t="shared" si="44"/>
        <v>2012</v>
      </c>
      <c r="C139" s="36">
        <f>+C137</f>
        <v>100</v>
      </c>
      <c r="D139" s="34"/>
      <c r="E139" s="34"/>
      <c r="F139" s="34"/>
      <c r="G139" s="34"/>
      <c r="H139" s="34"/>
      <c r="I139" s="34"/>
      <c r="J139" s="46"/>
      <c r="K139" s="32">
        <f>SUM(D139:J139)</f>
        <v>0</v>
      </c>
      <c r="L139" s="28">
        <f>+K139/12</f>
        <v>0</v>
      </c>
      <c r="M139" s="29">
        <f>+(K139/7)/C139</f>
        <v>0</v>
      </c>
      <c r="N139" s="27"/>
    </row>
    <row r="140" spans="2:14" x14ac:dyDescent="0.25">
      <c r="B140" s="47" t="str">
        <f t="shared" si="44"/>
        <v>December</v>
      </c>
      <c r="C140" s="35"/>
      <c r="D140" s="33">
        <f>+D138+7</f>
        <v>22</v>
      </c>
      <c r="E140" s="33">
        <f t="shared" ref="E140:J140" si="47">+E138+7</f>
        <v>23</v>
      </c>
      <c r="F140" s="33">
        <f t="shared" si="47"/>
        <v>24</v>
      </c>
      <c r="G140" s="33">
        <f t="shared" si="47"/>
        <v>25</v>
      </c>
      <c r="H140" s="33">
        <f t="shared" si="47"/>
        <v>26</v>
      </c>
      <c r="I140" s="33">
        <f t="shared" si="47"/>
        <v>27</v>
      </c>
      <c r="J140" s="48">
        <f t="shared" si="47"/>
        <v>28</v>
      </c>
      <c r="K140" s="27"/>
      <c r="L140" s="28"/>
      <c r="M140" s="27"/>
    </row>
    <row r="141" spans="2:14" x14ac:dyDescent="0.25">
      <c r="B141" s="49">
        <f t="shared" si="44"/>
        <v>2012</v>
      </c>
      <c r="C141" s="36">
        <f>+C139</f>
        <v>100</v>
      </c>
      <c r="D141" s="34"/>
      <c r="E141" s="34"/>
      <c r="F141" s="34"/>
      <c r="G141" s="34"/>
      <c r="H141" s="34"/>
      <c r="I141" s="34"/>
      <c r="J141" s="46"/>
      <c r="K141">
        <f>SUM(D141:J141)</f>
        <v>0</v>
      </c>
      <c r="L141" s="28">
        <f>+K141/12</f>
        <v>0</v>
      </c>
      <c r="M141" s="29">
        <f>+(K141/7)/C141</f>
        <v>0</v>
      </c>
      <c r="N141" s="27"/>
    </row>
    <row r="142" spans="2:14" x14ac:dyDescent="0.25">
      <c r="B142" s="47" t="str">
        <f t="shared" si="44"/>
        <v>December</v>
      </c>
      <c r="C142" s="35"/>
      <c r="D142" s="33">
        <f>+D140+7</f>
        <v>29</v>
      </c>
      <c r="E142" s="33">
        <f>+E140+7</f>
        <v>30</v>
      </c>
      <c r="F142" s="33">
        <f>+F140+7</f>
        <v>31</v>
      </c>
      <c r="G142" s="37"/>
      <c r="H142" s="37"/>
      <c r="I142" s="37"/>
      <c r="J142" s="50"/>
      <c r="K142" s="27"/>
      <c r="L142" s="28"/>
      <c r="M142" s="27"/>
    </row>
    <row r="143" spans="2:14" x14ac:dyDescent="0.25">
      <c r="B143" s="49">
        <f t="shared" si="44"/>
        <v>2012</v>
      </c>
      <c r="C143" s="36">
        <f>+C141</f>
        <v>100</v>
      </c>
      <c r="D143" s="34"/>
      <c r="E143" s="34"/>
      <c r="F143" s="34"/>
      <c r="G143" s="36"/>
      <c r="H143" s="36"/>
      <c r="I143" s="36"/>
      <c r="J143" s="51"/>
      <c r="K143">
        <f>SUM(D143:J143)</f>
        <v>0</v>
      </c>
      <c r="L143" s="28">
        <f>+K143/12</f>
        <v>0</v>
      </c>
      <c r="M143" s="29" t="e">
        <f>+(K143/N143)/C143</f>
        <v>#DIV/0!</v>
      </c>
      <c r="N143">
        <f>7-(COUNTBLANK(D143:J143))</f>
        <v>0</v>
      </c>
    </row>
    <row r="144" spans="2:14" x14ac:dyDescent="0.25">
      <c r="B144" s="52"/>
      <c r="C144" s="38"/>
      <c r="D144" s="39"/>
      <c r="E144" s="39"/>
      <c r="F144" s="39"/>
      <c r="G144" s="40"/>
      <c r="H144" s="39"/>
      <c r="I144" s="39"/>
      <c r="J144" s="53"/>
      <c r="K144" s="27">
        <f>+K143+K141+K139+K137+K135</f>
        <v>0</v>
      </c>
      <c r="L144" s="28">
        <f>+K144/12</f>
        <v>0</v>
      </c>
      <c r="M144" s="31" t="e">
        <f>AVERAGE(M135:M143)</f>
        <v>#DIV/0!</v>
      </c>
    </row>
  </sheetData>
  <phoneticPr fontId="2"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A34" sqref="A34"/>
    </sheetView>
  </sheetViews>
  <sheetFormatPr defaultRowHeight="13.2" x14ac:dyDescent="0.25"/>
  <cols>
    <col min="1" max="1" width="25.33203125" bestFit="1" customWidth="1"/>
  </cols>
  <sheetData>
    <row r="1" spans="1:8" x14ac:dyDescent="0.25">
      <c r="D1" s="55"/>
      <c r="E1" s="56" t="s">
        <v>46</v>
      </c>
      <c r="F1" s="57">
        <v>4.5</v>
      </c>
    </row>
    <row r="3" spans="1:8" x14ac:dyDescent="0.25">
      <c r="C3" s="241" t="s">
        <v>47</v>
      </c>
      <c r="D3" s="241"/>
      <c r="E3" s="241"/>
      <c r="F3" s="241"/>
      <c r="G3" s="241"/>
      <c r="H3" s="241"/>
    </row>
    <row r="4" spans="1:8" x14ac:dyDescent="0.25">
      <c r="C4" s="58" t="s">
        <v>48</v>
      </c>
      <c r="D4" s="58" t="s">
        <v>49</v>
      </c>
      <c r="E4" s="59" t="s">
        <v>50</v>
      </c>
      <c r="F4" s="58" t="s">
        <v>51</v>
      </c>
      <c r="G4" s="58" t="s">
        <v>52</v>
      </c>
      <c r="H4" s="58" t="s">
        <v>53</v>
      </c>
    </row>
    <row r="5" spans="1:8" ht="20.399999999999999" x14ac:dyDescent="0.25">
      <c r="B5" s="58" t="s">
        <v>54</v>
      </c>
      <c r="C5" s="60">
        <f t="shared" ref="C5:H5" si="0">+C6/16</f>
        <v>1.875</v>
      </c>
      <c r="D5" s="60">
        <f t="shared" si="0"/>
        <v>1.6875</v>
      </c>
      <c r="E5" s="60">
        <f t="shared" si="0"/>
        <v>1.5</v>
      </c>
      <c r="F5" s="60">
        <f t="shared" si="0"/>
        <v>1.3125</v>
      </c>
      <c r="G5" s="60">
        <f t="shared" si="0"/>
        <v>1.125</v>
      </c>
      <c r="H5" s="60">
        <f t="shared" si="0"/>
        <v>0.9375</v>
      </c>
    </row>
    <row r="6" spans="1:8" ht="20.399999999999999" x14ac:dyDescent="0.25">
      <c r="B6" s="58" t="s">
        <v>55</v>
      </c>
      <c r="C6" s="58">
        <v>30</v>
      </c>
      <c r="D6" s="58">
        <v>27</v>
      </c>
      <c r="E6" s="59">
        <v>24</v>
      </c>
      <c r="F6" s="58">
        <v>21</v>
      </c>
      <c r="G6" s="58">
        <v>18</v>
      </c>
      <c r="H6" s="58">
        <v>15</v>
      </c>
    </row>
    <row r="7" spans="1:8" x14ac:dyDescent="0.25">
      <c r="A7" t="s">
        <v>56</v>
      </c>
      <c r="B7" s="58" t="s">
        <v>57</v>
      </c>
      <c r="C7" s="61">
        <f>+$E7/$E6*C6</f>
        <v>6.2374999999999998</v>
      </c>
      <c r="D7" s="61">
        <f>+$E7/$E6*D6</f>
        <v>5.6137499999999996</v>
      </c>
      <c r="E7" s="62">
        <v>4.99</v>
      </c>
      <c r="F7" s="61">
        <f>+$E7/$E6*F6</f>
        <v>4.36625</v>
      </c>
      <c r="G7" s="61">
        <f>+$E7/$E6*G6</f>
        <v>3.7425000000000002</v>
      </c>
      <c r="H7" s="61">
        <f>+$E7/$E6*H6</f>
        <v>3.1187499999999999</v>
      </c>
    </row>
    <row r="8" spans="1:8" x14ac:dyDescent="0.25">
      <c r="A8" t="s">
        <v>58</v>
      </c>
      <c r="B8" s="58"/>
      <c r="C8" s="67">
        <v>5.99</v>
      </c>
      <c r="D8" s="67">
        <v>5.5</v>
      </c>
      <c r="E8" s="68">
        <v>4.99</v>
      </c>
      <c r="F8" s="67">
        <v>4.5</v>
      </c>
      <c r="G8" s="67">
        <v>3.99</v>
      </c>
      <c r="H8" s="67">
        <v>3.5</v>
      </c>
    </row>
    <row r="9" spans="1:8" x14ac:dyDescent="0.25">
      <c r="B9" s="58"/>
      <c r="C9" s="61"/>
      <c r="D9" s="61"/>
      <c r="E9" s="62"/>
      <c r="F9" s="61"/>
      <c r="G9" s="61"/>
      <c r="H9" s="61"/>
    </row>
    <row r="10" spans="1:8" x14ac:dyDescent="0.25">
      <c r="B10" s="58"/>
      <c r="C10" s="61"/>
      <c r="D10" s="61"/>
      <c r="E10" s="62"/>
      <c r="F10" s="61"/>
      <c r="G10" s="61"/>
      <c r="H10" s="61"/>
    </row>
    <row r="11" spans="1:8" x14ac:dyDescent="0.25">
      <c r="A11" t="s">
        <v>59</v>
      </c>
      <c r="C11" s="63">
        <v>1</v>
      </c>
      <c r="D11" s="63">
        <v>1</v>
      </c>
      <c r="E11" s="64">
        <v>1</v>
      </c>
      <c r="F11" s="63">
        <v>1</v>
      </c>
      <c r="G11" s="63">
        <v>1</v>
      </c>
      <c r="H11" s="65">
        <f>+ROUND(E$6/H$6*E11,1)</f>
        <v>1.6</v>
      </c>
    </row>
    <row r="12" spans="1:8" x14ac:dyDescent="0.25">
      <c r="C12" s="63">
        <v>2</v>
      </c>
      <c r="D12" s="63">
        <v>2</v>
      </c>
      <c r="E12" s="64">
        <v>2</v>
      </c>
      <c r="F12" s="63">
        <v>2</v>
      </c>
      <c r="G12" s="63">
        <v>3</v>
      </c>
      <c r="H12" s="65">
        <f>+E$6/H$6*E12</f>
        <v>3.2</v>
      </c>
    </row>
    <row r="13" spans="1:8" x14ac:dyDescent="0.25">
      <c r="A13" t="s">
        <v>60</v>
      </c>
      <c r="C13" s="63">
        <v>2</v>
      </c>
      <c r="D13" s="63">
        <v>3</v>
      </c>
      <c r="E13" s="64">
        <v>3</v>
      </c>
      <c r="F13" s="63">
        <v>3</v>
      </c>
      <c r="G13" s="63">
        <v>4</v>
      </c>
      <c r="H13" s="65">
        <f>+E$6/H$6*E13</f>
        <v>4.8000000000000007</v>
      </c>
    </row>
    <row r="14" spans="1:8" x14ac:dyDescent="0.25">
      <c r="C14" s="63">
        <v>3</v>
      </c>
      <c r="D14" s="63">
        <v>4</v>
      </c>
      <c r="E14" s="64">
        <v>4</v>
      </c>
      <c r="F14" s="63">
        <v>5</v>
      </c>
      <c r="G14" s="63">
        <v>5</v>
      </c>
      <c r="H14" s="65">
        <f>+E$6/H$6*E14</f>
        <v>6.4</v>
      </c>
    </row>
    <row r="15" spans="1:8" x14ac:dyDescent="0.25">
      <c r="C15" s="63">
        <v>4</v>
      </c>
      <c r="D15" s="63">
        <v>4</v>
      </c>
      <c r="E15" s="64">
        <v>5</v>
      </c>
      <c r="F15" s="63">
        <v>6</v>
      </c>
      <c r="G15" s="63">
        <v>7</v>
      </c>
      <c r="H15" s="65">
        <f>+E$6/H$6*E15</f>
        <v>8</v>
      </c>
    </row>
    <row r="16" spans="1:8" x14ac:dyDescent="0.25">
      <c r="C16" s="63">
        <v>5</v>
      </c>
      <c r="D16" s="66">
        <v>5</v>
      </c>
      <c r="E16" s="64">
        <v>6</v>
      </c>
      <c r="F16" s="63">
        <v>7</v>
      </c>
      <c r="G16" s="66">
        <v>8</v>
      </c>
      <c r="H16" s="65">
        <f>+E$6/H$6*E16</f>
        <v>9.6000000000000014</v>
      </c>
    </row>
    <row r="19" spans="1:5" x14ac:dyDescent="0.25">
      <c r="A19" s="15" t="s">
        <v>95</v>
      </c>
      <c r="B19" s="58" t="s">
        <v>48</v>
      </c>
      <c r="C19" s="68">
        <f>+C8</f>
        <v>5.99</v>
      </c>
      <c r="D19">
        <f>+C6</f>
        <v>30</v>
      </c>
      <c r="E19" s="15" t="s">
        <v>96</v>
      </c>
    </row>
    <row r="20" spans="1:5" x14ac:dyDescent="0.25">
      <c r="B20" s="58" t="s">
        <v>49</v>
      </c>
      <c r="C20" s="68">
        <f>+D8</f>
        <v>5.5</v>
      </c>
      <c r="D20">
        <f>+D6</f>
        <v>27</v>
      </c>
      <c r="E20" s="15" t="s">
        <v>96</v>
      </c>
    </row>
    <row r="21" spans="1:5" x14ac:dyDescent="0.25">
      <c r="B21" s="59" t="s">
        <v>50</v>
      </c>
      <c r="C21" s="68">
        <f>+E8</f>
        <v>4.99</v>
      </c>
      <c r="D21">
        <f>+E6</f>
        <v>24</v>
      </c>
      <c r="E21" s="15" t="s">
        <v>96</v>
      </c>
    </row>
    <row r="22" spans="1:5" x14ac:dyDescent="0.25">
      <c r="B22" s="58" t="s">
        <v>51</v>
      </c>
      <c r="C22" s="68">
        <f>+F8</f>
        <v>4.5</v>
      </c>
      <c r="D22">
        <f>+F6</f>
        <v>21</v>
      </c>
      <c r="E22" s="15" t="s">
        <v>96</v>
      </c>
    </row>
    <row r="23" spans="1:5" x14ac:dyDescent="0.25">
      <c r="B23" s="58" t="s">
        <v>52</v>
      </c>
      <c r="C23" s="68">
        <f>+G8</f>
        <v>3.99</v>
      </c>
      <c r="D23">
        <f>+G6</f>
        <v>18</v>
      </c>
      <c r="E23" s="15" t="s">
        <v>96</v>
      </c>
    </row>
    <row r="24" spans="1:5" x14ac:dyDescent="0.25">
      <c r="B24" s="58" t="s">
        <v>53</v>
      </c>
      <c r="C24" s="68">
        <f>+H8</f>
        <v>3.5</v>
      </c>
      <c r="D24">
        <f>+H6</f>
        <v>15</v>
      </c>
      <c r="E24" s="15" t="s">
        <v>96</v>
      </c>
    </row>
  </sheetData>
  <mergeCells count="1">
    <mergeCell ref="C3:H3"/>
  </mergeCells>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M29" sqref="M29"/>
    </sheetView>
  </sheetViews>
  <sheetFormatPr defaultRowHeight="13.2" x14ac:dyDescent="0.25"/>
  <sheetData>
    <row r="1" spans="1:9" ht="13.8" x14ac:dyDescent="0.3">
      <c r="A1" s="75" t="s">
        <v>69</v>
      </c>
    </row>
    <row r="2" spans="1:9" x14ac:dyDescent="0.25">
      <c r="A2" s="242" t="s">
        <v>70</v>
      </c>
      <c r="B2" s="242" t="s">
        <v>71</v>
      </c>
      <c r="C2" s="242"/>
      <c r="D2" s="242" t="s">
        <v>72</v>
      </c>
      <c r="E2" s="242"/>
      <c r="F2" s="242"/>
      <c r="G2" s="242"/>
      <c r="H2" s="242" t="s">
        <v>73</v>
      </c>
      <c r="I2" s="242"/>
    </row>
    <row r="3" spans="1:9" ht="27.6" x14ac:dyDescent="0.3">
      <c r="A3" s="242"/>
      <c r="B3" s="76" t="s">
        <v>74</v>
      </c>
      <c r="C3" s="76" t="s">
        <v>75</v>
      </c>
      <c r="D3" s="76" t="s">
        <v>76</v>
      </c>
      <c r="E3" s="76" t="s">
        <v>77</v>
      </c>
      <c r="F3" s="243" t="s">
        <v>78</v>
      </c>
      <c r="G3" s="243"/>
      <c r="H3" s="76" t="s">
        <v>79</v>
      </c>
      <c r="I3" s="76" t="s">
        <v>80</v>
      </c>
    </row>
    <row r="4" spans="1:9" ht="13.8" x14ac:dyDescent="0.3">
      <c r="A4" s="77"/>
      <c r="B4" s="76"/>
      <c r="C4" s="76"/>
      <c r="D4" s="76" t="s">
        <v>81</v>
      </c>
      <c r="E4" s="76" t="s">
        <v>82</v>
      </c>
      <c r="F4" s="76" t="s">
        <v>83</v>
      </c>
      <c r="G4" s="76" t="s">
        <v>84</v>
      </c>
      <c r="H4" s="76"/>
      <c r="I4" s="76"/>
    </row>
    <row r="5" spans="1:9" x14ac:dyDescent="0.25">
      <c r="A5" s="78">
        <v>1</v>
      </c>
      <c r="B5" s="78"/>
      <c r="C5" s="78"/>
      <c r="D5" s="79">
        <v>2.6</v>
      </c>
      <c r="E5" s="79">
        <v>0.18</v>
      </c>
      <c r="F5" s="80">
        <f>+D5*453.59237/100</f>
        <v>11.793401620000003</v>
      </c>
      <c r="G5" s="80">
        <f>+E5*453.59237</f>
        <v>81.646626600000005</v>
      </c>
      <c r="H5" s="79">
        <v>0.5</v>
      </c>
      <c r="I5" s="79">
        <f>+H5*3.78541</f>
        <v>1.8927050000000001</v>
      </c>
    </row>
    <row r="6" spans="1:9" x14ac:dyDescent="0.25">
      <c r="A6" s="78">
        <v>2</v>
      </c>
      <c r="B6" s="78"/>
      <c r="C6" s="78"/>
      <c r="D6" s="79">
        <v>4.4000000000000004</v>
      </c>
      <c r="E6" s="79">
        <v>0.49</v>
      </c>
      <c r="F6" s="80">
        <f t="shared" ref="F6:F24" si="0">+D6*453.59237/100</f>
        <v>19.958064280000002</v>
      </c>
      <c r="G6" s="80">
        <f t="shared" ref="G6:G24" si="1">+E6*453.59237</f>
        <v>222.2602613</v>
      </c>
      <c r="H6" s="79">
        <v>0.8</v>
      </c>
      <c r="I6" s="79">
        <f t="shared" ref="I6:I24" si="2">+H6*3.78541</f>
        <v>3.0283280000000001</v>
      </c>
    </row>
    <row r="7" spans="1:9" x14ac:dyDescent="0.25">
      <c r="A7" s="78">
        <v>3</v>
      </c>
      <c r="B7" s="78"/>
      <c r="C7" s="78"/>
      <c r="D7" s="79">
        <v>5.6</v>
      </c>
      <c r="E7" s="79">
        <v>0.99</v>
      </c>
      <c r="F7" s="80">
        <f t="shared" si="0"/>
        <v>25.401172719999998</v>
      </c>
      <c r="G7" s="80">
        <f t="shared" si="1"/>
        <v>449.0564463</v>
      </c>
      <c r="H7" s="79">
        <v>1.1499999999999999</v>
      </c>
      <c r="I7" s="79">
        <f t="shared" si="2"/>
        <v>4.3532215000000001</v>
      </c>
    </row>
    <row r="8" spans="1:9" x14ac:dyDescent="0.25">
      <c r="A8" s="78">
        <v>4</v>
      </c>
      <c r="B8" s="79">
        <v>0.64</v>
      </c>
      <c r="C8" s="80">
        <f>+B8*453.59237</f>
        <v>290.29911680000004</v>
      </c>
      <c r="D8" s="79">
        <v>6.8</v>
      </c>
      <c r="E8" s="79">
        <v>1.36</v>
      </c>
      <c r="F8" s="80">
        <f t="shared" si="0"/>
        <v>30.844281160000001</v>
      </c>
      <c r="G8" s="80">
        <f t="shared" si="1"/>
        <v>616.88562320000005</v>
      </c>
      <c r="H8" s="79">
        <v>1.55</v>
      </c>
      <c r="I8" s="79">
        <f t="shared" si="2"/>
        <v>5.8673855000000001</v>
      </c>
    </row>
    <row r="9" spans="1:9" x14ac:dyDescent="0.25">
      <c r="A9" s="78">
        <v>5</v>
      </c>
      <c r="B9" s="79">
        <v>0.81</v>
      </c>
      <c r="C9" s="80">
        <f t="shared" ref="C9:C24" si="3">+B9*453.59237</f>
        <v>367.40981970000001</v>
      </c>
      <c r="D9" s="79">
        <v>7.7</v>
      </c>
      <c r="E9" s="79">
        <v>1.9</v>
      </c>
      <c r="F9" s="80">
        <f t="shared" si="0"/>
        <v>34.926612490000004</v>
      </c>
      <c r="G9" s="80">
        <f t="shared" si="1"/>
        <v>861.82550300000003</v>
      </c>
      <c r="H9" s="79">
        <v>1.8</v>
      </c>
      <c r="I9" s="79">
        <f t="shared" si="2"/>
        <v>6.8137380000000007</v>
      </c>
    </row>
    <row r="10" spans="1:9" x14ac:dyDescent="0.25">
      <c r="A10" s="78">
        <v>6</v>
      </c>
      <c r="B10" s="79">
        <v>0.99</v>
      </c>
      <c r="C10" s="80">
        <f t="shared" si="3"/>
        <v>449.0564463</v>
      </c>
      <c r="D10" s="79">
        <v>8.6</v>
      </c>
      <c r="E10" s="79">
        <v>2.5</v>
      </c>
      <c r="F10" s="80">
        <f t="shared" si="0"/>
        <v>39.008943819999999</v>
      </c>
      <c r="G10" s="80">
        <f t="shared" si="1"/>
        <v>1133.9809250000001</v>
      </c>
      <c r="H10" s="79">
        <v>2.1</v>
      </c>
      <c r="I10" s="79">
        <f t="shared" si="2"/>
        <v>7.9493610000000006</v>
      </c>
    </row>
    <row r="11" spans="1:9" x14ac:dyDescent="0.25">
      <c r="A11" s="78">
        <v>7</v>
      </c>
      <c r="B11" s="79">
        <v>1.17</v>
      </c>
      <c r="C11" s="80">
        <f t="shared" si="3"/>
        <v>530.70307289999994</v>
      </c>
      <c r="D11" s="79">
        <v>9.5</v>
      </c>
      <c r="E11" s="79">
        <v>3.17</v>
      </c>
      <c r="F11" s="80">
        <f t="shared" si="0"/>
        <v>43.091275150000001</v>
      </c>
      <c r="G11" s="80">
        <f t="shared" si="1"/>
        <v>1437.8878129</v>
      </c>
      <c r="H11" s="79">
        <v>2.35</v>
      </c>
      <c r="I11" s="79">
        <f t="shared" si="2"/>
        <v>8.8957135000000012</v>
      </c>
    </row>
    <row r="12" spans="1:9" x14ac:dyDescent="0.25">
      <c r="A12" s="78">
        <v>8</v>
      </c>
      <c r="B12" s="79">
        <v>1.34</v>
      </c>
      <c r="C12" s="80">
        <f t="shared" si="3"/>
        <v>607.81377580000003</v>
      </c>
      <c r="D12" s="79">
        <v>10.3</v>
      </c>
      <c r="E12" s="79">
        <v>3.89</v>
      </c>
      <c r="F12" s="80">
        <f t="shared" si="0"/>
        <v>46.720014110000001</v>
      </c>
      <c r="G12" s="80">
        <f t="shared" si="1"/>
        <v>1764.4743193000002</v>
      </c>
      <c r="H12" s="79">
        <v>2.5499999999999998</v>
      </c>
      <c r="I12" s="79">
        <f t="shared" si="2"/>
        <v>9.6527954999999999</v>
      </c>
    </row>
    <row r="13" spans="1:9" x14ac:dyDescent="0.25">
      <c r="A13" s="78">
        <v>9</v>
      </c>
      <c r="B13" s="79">
        <v>1.52</v>
      </c>
      <c r="C13" s="80">
        <f t="shared" si="3"/>
        <v>689.46040240000002</v>
      </c>
      <c r="D13" s="79">
        <v>11</v>
      </c>
      <c r="E13" s="79">
        <v>4.66</v>
      </c>
      <c r="F13" s="80">
        <f t="shared" si="0"/>
        <v>49.895160700000005</v>
      </c>
      <c r="G13" s="80">
        <f t="shared" si="1"/>
        <v>2113.7404442000002</v>
      </c>
      <c r="H13" s="79">
        <v>2.7</v>
      </c>
      <c r="I13" s="79">
        <f t="shared" si="2"/>
        <v>10.220607000000001</v>
      </c>
    </row>
    <row r="14" spans="1:9" x14ac:dyDescent="0.25">
      <c r="A14" s="78">
        <v>10</v>
      </c>
      <c r="B14" s="79">
        <v>1.69</v>
      </c>
      <c r="C14" s="80">
        <f t="shared" si="3"/>
        <v>766.5711053</v>
      </c>
      <c r="D14" s="79">
        <v>11.6</v>
      </c>
      <c r="E14" s="79">
        <v>5.47</v>
      </c>
      <c r="F14" s="80">
        <f t="shared" si="0"/>
        <v>52.616714920000007</v>
      </c>
      <c r="G14" s="80">
        <f t="shared" si="1"/>
        <v>2481.1502639</v>
      </c>
      <c r="H14" s="79">
        <v>2.85</v>
      </c>
      <c r="I14" s="79">
        <f t="shared" si="2"/>
        <v>10.788418500000001</v>
      </c>
    </row>
    <row r="15" spans="1:9" x14ac:dyDescent="0.25">
      <c r="A15" s="78">
        <v>11</v>
      </c>
      <c r="B15" s="79">
        <v>1.87</v>
      </c>
      <c r="C15" s="80">
        <f t="shared" si="3"/>
        <v>848.2177319000001</v>
      </c>
      <c r="D15" s="79">
        <v>12.3</v>
      </c>
      <c r="E15" s="79">
        <v>6.33</v>
      </c>
      <c r="F15" s="80">
        <f t="shared" si="0"/>
        <v>55.791861510000011</v>
      </c>
      <c r="G15" s="80">
        <f t="shared" si="1"/>
        <v>2871.2397021000002</v>
      </c>
      <c r="H15" s="79">
        <v>3</v>
      </c>
      <c r="I15" s="79">
        <f t="shared" si="2"/>
        <v>11.35623</v>
      </c>
    </row>
    <row r="16" spans="1:9" x14ac:dyDescent="0.25">
      <c r="A16" s="78">
        <v>12</v>
      </c>
      <c r="B16" s="79">
        <v>2.06</v>
      </c>
      <c r="C16" s="80">
        <f t="shared" si="3"/>
        <v>934.40028220000011</v>
      </c>
      <c r="D16" s="79">
        <v>13</v>
      </c>
      <c r="E16" s="79">
        <v>7.24</v>
      </c>
      <c r="F16" s="80">
        <f t="shared" si="0"/>
        <v>58.967008100000001</v>
      </c>
      <c r="G16" s="80">
        <f t="shared" si="1"/>
        <v>3284.0087588000001</v>
      </c>
      <c r="H16" s="79">
        <v>3.15</v>
      </c>
      <c r="I16" s="79">
        <f t="shared" si="2"/>
        <v>11.9240415</v>
      </c>
    </row>
    <row r="17" spans="1:9" x14ac:dyDescent="0.25">
      <c r="A17" s="78">
        <v>13</v>
      </c>
      <c r="B17" s="79">
        <v>2.2400000000000002</v>
      </c>
      <c r="C17" s="80">
        <f t="shared" si="3"/>
        <v>1016.0469088000001</v>
      </c>
      <c r="D17" s="79">
        <v>13.7</v>
      </c>
      <c r="E17" s="79">
        <v>8.1999999999999993</v>
      </c>
      <c r="F17" s="80">
        <f t="shared" si="0"/>
        <v>62.142154689999998</v>
      </c>
      <c r="G17" s="80">
        <f t="shared" si="1"/>
        <v>3719.4574339999999</v>
      </c>
      <c r="H17" s="79">
        <v>3.3</v>
      </c>
      <c r="I17" s="79">
        <f t="shared" si="2"/>
        <v>12.491852999999999</v>
      </c>
    </row>
    <row r="18" spans="1:9" x14ac:dyDescent="0.25">
      <c r="A18" s="78">
        <v>14</v>
      </c>
      <c r="B18" s="79">
        <v>2.44</v>
      </c>
      <c r="C18" s="80">
        <f t="shared" si="3"/>
        <v>1106.7653828</v>
      </c>
      <c r="D18" s="79">
        <v>14.4</v>
      </c>
      <c r="E18" s="79">
        <v>9.2100000000000009</v>
      </c>
      <c r="F18" s="80">
        <f t="shared" si="0"/>
        <v>65.317301279999995</v>
      </c>
      <c r="G18" s="80">
        <f t="shared" si="1"/>
        <v>4177.5857277000005</v>
      </c>
      <c r="H18" s="79">
        <v>3.45</v>
      </c>
      <c r="I18" s="79">
        <f t="shared" si="2"/>
        <v>13.059664500000002</v>
      </c>
    </row>
    <row r="19" spans="1:9" x14ac:dyDescent="0.25">
      <c r="A19" s="78">
        <v>15</v>
      </c>
      <c r="B19" s="79">
        <v>2.64</v>
      </c>
      <c r="C19" s="80">
        <f t="shared" si="3"/>
        <v>1197.4838568</v>
      </c>
      <c r="D19" s="79">
        <v>15</v>
      </c>
      <c r="E19" s="79">
        <v>10.26</v>
      </c>
      <c r="F19" s="80">
        <f t="shared" si="0"/>
        <v>68.038855499999997</v>
      </c>
      <c r="G19" s="80">
        <f t="shared" si="1"/>
        <v>4653.8577162000001</v>
      </c>
      <c r="H19" s="79">
        <v>3.6</v>
      </c>
      <c r="I19" s="79">
        <f t="shared" si="2"/>
        <v>13.627476000000001</v>
      </c>
    </row>
    <row r="20" spans="1:9" x14ac:dyDescent="0.25">
      <c r="A20" s="78">
        <v>16</v>
      </c>
      <c r="B20" s="79">
        <v>2.86</v>
      </c>
      <c r="C20" s="80">
        <f t="shared" si="3"/>
        <v>1297.2741782000001</v>
      </c>
      <c r="D20" s="79">
        <v>15.6</v>
      </c>
      <c r="E20" s="79">
        <v>11.35</v>
      </c>
      <c r="F20" s="80">
        <f t="shared" si="0"/>
        <v>70.760409719999998</v>
      </c>
      <c r="G20" s="80">
        <f t="shared" si="1"/>
        <v>5148.2733994999999</v>
      </c>
      <c r="H20" s="79">
        <v>3.75</v>
      </c>
      <c r="I20" s="79">
        <f t="shared" si="2"/>
        <v>14.195287500000001</v>
      </c>
    </row>
    <row r="21" spans="1:9" x14ac:dyDescent="0.25">
      <c r="A21" s="78">
        <v>17</v>
      </c>
      <c r="B21" s="79">
        <v>3.08</v>
      </c>
      <c r="C21" s="80">
        <f t="shared" si="3"/>
        <v>1397.0644996000001</v>
      </c>
      <c r="D21" s="79">
        <v>16.3</v>
      </c>
      <c r="E21" s="79">
        <v>12.49</v>
      </c>
      <c r="F21" s="80">
        <f t="shared" si="0"/>
        <v>73.935556309999996</v>
      </c>
      <c r="G21" s="80">
        <f t="shared" si="1"/>
        <v>5665.3687012999999</v>
      </c>
      <c r="H21" s="79">
        <v>3.9</v>
      </c>
      <c r="I21" s="79">
        <f t="shared" si="2"/>
        <v>14.763099</v>
      </c>
    </row>
    <row r="22" spans="1:9" x14ac:dyDescent="0.25">
      <c r="A22" s="78">
        <v>18</v>
      </c>
      <c r="B22" s="79">
        <v>3.3</v>
      </c>
      <c r="C22" s="80">
        <f t="shared" si="3"/>
        <v>1496.8548209999999</v>
      </c>
      <c r="D22" s="79">
        <v>17</v>
      </c>
      <c r="E22" s="79">
        <v>13.68</v>
      </c>
      <c r="F22" s="80">
        <f t="shared" si="0"/>
        <v>77.110702900000007</v>
      </c>
      <c r="G22" s="80">
        <f t="shared" si="1"/>
        <v>6205.1436216000002</v>
      </c>
      <c r="H22" s="79">
        <v>4.0999999999999996</v>
      </c>
      <c r="I22" s="79">
        <f t="shared" si="2"/>
        <v>15.520180999999999</v>
      </c>
    </row>
    <row r="23" spans="1:9" x14ac:dyDescent="0.25">
      <c r="A23" s="78">
        <v>19</v>
      </c>
      <c r="B23" s="79">
        <v>3.55</v>
      </c>
      <c r="C23" s="80">
        <f t="shared" si="3"/>
        <v>1610.2529135</v>
      </c>
      <c r="D23" s="79">
        <v>18</v>
      </c>
      <c r="E23" s="79">
        <v>14.94</v>
      </c>
      <c r="F23" s="80">
        <f t="shared" si="0"/>
        <v>81.646626600000005</v>
      </c>
      <c r="G23" s="80">
        <f t="shared" si="1"/>
        <v>6776.6700078000003</v>
      </c>
      <c r="H23" s="79">
        <v>4.4000000000000004</v>
      </c>
      <c r="I23" s="79">
        <f t="shared" si="2"/>
        <v>16.655804000000003</v>
      </c>
    </row>
    <row r="24" spans="1:9" x14ac:dyDescent="0.25">
      <c r="A24" s="78">
        <v>20</v>
      </c>
      <c r="B24" s="79">
        <v>3.75</v>
      </c>
      <c r="C24" s="80">
        <f t="shared" si="3"/>
        <v>1700.9713875</v>
      </c>
      <c r="D24" s="79">
        <v>19</v>
      </c>
      <c r="E24" s="79">
        <v>16.27</v>
      </c>
      <c r="F24" s="80">
        <f t="shared" si="0"/>
        <v>86.182550300000003</v>
      </c>
      <c r="G24" s="80">
        <f t="shared" si="1"/>
        <v>7379.9478599000004</v>
      </c>
      <c r="H24" s="79">
        <v>4.8</v>
      </c>
      <c r="I24" s="79">
        <f t="shared" si="2"/>
        <v>18.169968000000001</v>
      </c>
    </row>
  </sheetData>
  <mergeCells count="5">
    <mergeCell ref="B2:C2"/>
    <mergeCell ref="A2:A3"/>
    <mergeCell ref="D2:G2"/>
    <mergeCell ref="H2:I2"/>
    <mergeCell ref="F3:G3"/>
  </mergeCells>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4"/>
  <sheetViews>
    <sheetView workbookViewId="0">
      <selection activeCell="M9" sqref="M9"/>
    </sheetView>
  </sheetViews>
  <sheetFormatPr defaultRowHeight="13.2" x14ac:dyDescent="0.25"/>
  <cols>
    <col min="2" max="2" width="14.33203125" customWidth="1"/>
    <col min="3" max="3" width="13.44140625" customWidth="1"/>
    <col min="4" max="4" width="9.44140625" customWidth="1"/>
    <col min="5" max="5" width="13.5546875" customWidth="1"/>
    <col min="6" max="6" width="9.44140625" customWidth="1"/>
    <col min="7" max="7" width="11.33203125" customWidth="1"/>
    <col min="8" max="8" width="4.6640625" customWidth="1"/>
    <col min="9" max="9" width="10.6640625" customWidth="1"/>
    <col min="10" max="10" width="18.33203125" style="2" customWidth="1"/>
  </cols>
  <sheetData>
    <row r="1" spans="1:14" ht="16.2" x14ac:dyDescent="0.4">
      <c r="A1" s="236" t="s">
        <v>311</v>
      </c>
      <c r="B1" s="15" t="s">
        <v>332</v>
      </c>
    </row>
    <row r="3" spans="1:14" s="81" customFormat="1" x14ac:dyDescent="0.25">
      <c r="J3" s="82"/>
    </row>
    <row r="4" spans="1:14" s="82" customFormat="1" ht="60" customHeight="1" x14ac:dyDescent="0.25">
      <c r="A4" s="82" t="s">
        <v>85</v>
      </c>
      <c r="B4" s="82" t="s">
        <v>86</v>
      </c>
      <c r="C4" s="82" t="s">
        <v>87</v>
      </c>
      <c r="D4" s="82" t="s">
        <v>88</v>
      </c>
      <c r="E4" s="82" t="s">
        <v>89</v>
      </c>
      <c r="F4" s="82" t="s">
        <v>90</v>
      </c>
      <c r="G4" s="82" t="s">
        <v>91</v>
      </c>
      <c r="I4" s="82" t="s">
        <v>92</v>
      </c>
      <c r="J4" s="96" t="s">
        <v>105</v>
      </c>
    </row>
    <row r="5" spans="1:14" x14ac:dyDescent="0.25">
      <c r="A5">
        <v>1</v>
      </c>
      <c r="C5" s="84">
        <v>41006</v>
      </c>
      <c r="D5" s="85">
        <v>18</v>
      </c>
      <c r="E5" s="83">
        <f>+C5+D5</f>
        <v>41024</v>
      </c>
      <c r="F5" s="85">
        <v>36</v>
      </c>
      <c r="G5" s="83">
        <f>+E5+F5</f>
        <v>41060</v>
      </c>
      <c r="I5" s="2">
        <f>+F5+D5</f>
        <v>54</v>
      </c>
      <c r="J5" s="2" t="str">
        <f>CONCATENATE(ROUNDDOWN(+I5/7,0)," weeks ",+I5-(ROUNDDOWN(+I5/7,0)*7)," days")</f>
        <v>7 weeks 5 days</v>
      </c>
    </row>
    <row r="6" spans="1:14" x14ac:dyDescent="0.25">
      <c r="A6">
        <v>2</v>
      </c>
      <c r="B6" s="85">
        <v>7</v>
      </c>
      <c r="C6" s="83">
        <f>+C5+B6</f>
        <v>41013</v>
      </c>
      <c r="D6" s="85">
        <v>18</v>
      </c>
      <c r="E6" s="83">
        <f t="shared" ref="E6:E24" si="0">+C6+D6</f>
        <v>41031</v>
      </c>
      <c r="F6" s="85">
        <v>36</v>
      </c>
      <c r="G6" s="83">
        <f t="shared" ref="G6:G24" si="1">+E6+F6</f>
        <v>41067</v>
      </c>
      <c r="I6" s="2">
        <f t="shared" ref="I6:I24" si="2">+F6+D6</f>
        <v>54</v>
      </c>
      <c r="J6" s="2" t="str">
        <f t="shared" ref="J6:J24" si="3">CONCATENATE(ROUNDDOWN(+I6/7,0)," weeks ",+I6-(ROUNDDOWN(+I6/7,0)*7)," days")</f>
        <v>7 weeks 5 days</v>
      </c>
    </row>
    <row r="7" spans="1:14" x14ac:dyDescent="0.25">
      <c r="A7">
        <v>3</v>
      </c>
      <c r="B7" s="85">
        <v>7</v>
      </c>
      <c r="C7" s="83">
        <f>+C6+B7</f>
        <v>41020</v>
      </c>
      <c r="D7" s="85">
        <v>18</v>
      </c>
      <c r="E7" s="83">
        <f t="shared" si="0"/>
        <v>41038</v>
      </c>
      <c r="F7" s="85">
        <v>36</v>
      </c>
      <c r="G7" s="83">
        <f t="shared" si="1"/>
        <v>41074</v>
      </c>
      <c r="I7" s="2">
        <f t="shared" si="2"/>
        <v>54</v>
      </c>
      <c r="J7" s="2" t="str">
        <f t="shared" si="3"/>
        <v>7 weeks 5 days</v>
      </c>
      <c r="N7" t="s">
        <v>93</v>
      </c>
    </row>
    <row r="8" spans="1:14" x14ac:dyDescent="0.25">
      <c r="A8">
        <v>4</v>
      </c>
      <c r="B8" s="85">
        <v>7</v>
      </c>
      <c r="C8" s="83">
        <f>+C7+B8</f>
        <v>41027</v>
      </c>
      <c r="D8" s="85">
        <v>18</v>
      </c>
      <c r="E8" s="83">
        <f t="shared" si="0"/>
        <v>41045</v>
      </c>
      <c r="F8" s="85">
        <v>36</v>
      </c>
      <c r="G8" s="83">
        <f t="shared" si="1"/>
        <v>41081</v>
      </c>
      <c r="I8" s="2">
        <f t="shared" si="2"/>
        <v>54</v>
      </c>
      <c r="J8" s="2" t="str">
        <f t="shared" si="3"/>
        <v>7 weeks 5 days</v>
      </c>
    </row>
    <row r="9" spans="1:14" x14ac:dyDescent="0.25">
      <c r="A9">
        <v>5</v>
      </c>
      <c r="B9" s="85">
        <v>7</v>
      </c>
      <c r="C9" s="83">
        <f t="shared" ref="C9:C24" si="4">+C8+B9</f>
        <v>41034</v>
      </c>
      <c r="D9" s="85">
        <v>18</v>
      </c>
      <c r="E9" s="83">
        <f t="shared" si="0"/>
        <v>41052</v>
      </c>
      <c r="F9" s="85">
        <v>36</v>
      </c>
      <c r="G9" s="83">
        <f t="shared" si="1"/>
        <v>41088</v>
      </c>
      <c r="I9" s="2">
        <f t="shared" si="2"/>
        <v>54</v>
      </c>
      <c r="J9" s="2" t="str">
        <f t="shared" si="3"/>
        <v>7 weeks 5 days</v>
      </c>
    </row>
    <row r="10" spans="1:14" x14ac:dyDescent="0.25">
      <c r="A10">
        <v>6</v>
      </c>
      <c r="B10" s="85">
        <v>7</v>
      </c>
      <c r="C10" s="83">
        <f t="shared" si="4"/>
        <v>41041</v>
      </c>
      <c r="D10" s="85">
        <v>18</v>
      </c>
      <c r="E10" s="83">
        <f t="shared" si="0"/>
        <v>41059</v>
      </c>
      <c r="F10" s="85">
        <v>36</v>
      </c>
      <c r="G10" s="83">
        <f t="shared" si="1"/>
        <v>41095</v>
      </c>
      <c r="I10" s="2">
        <f t="shared" si="2"/>
        <v>54</v>
      </c>
      <c r="J10" s="2" t="str">
        <f t="shared" si="3"/>
        <v>7 weeks 5 days</v>
      </c>
    </row>
    <row r="11" spans="1:14" x14ac:dyDescent="0.25">
      <c r="A11">
        <v>7</v>
      </c>
      <c r="B11" s="85">
        <v>7</v>
      </c>
      <c r="C11" s="83">
        <f t="shared" si="4"/>
        <v>41048</v>
      </c>
      <c r="D11" s="85">
        <v>18</v>
      </c>
      <c r="E11" s="83">
        <f t="shared" si="0"/>
        <v>41066</v>
      </c>
      <c r="F11" s="85">
        <v>36</v>
      </c>
      <c r="G11" s="83">
        <f t="shared" si="1"/>
        <v>41102</v>
      </c>
      <c r="I11" s="2">
        <f t="shared" si="2"/>
        <v>54</v>
      </c>
      <c r="J11" s="2" t="str">
        <f t="shared" si="3"/>
        <v>7 weeks 5 days</v>
      </c>
    </row>
    <row r="12" spans="1:14" x14ac:dyDescent="0.25">
      <c r="A12">
        <v>8</v>
      </c>
      <c r="B12" s="85">
        <v>7</v>
      </c>
      <c r="C12" s="83">
        <f t="shared" si="4"/>
        <v>41055</v>
      </c>
      <c r="D12" s="85">
        <v>18</v>
      </c>
      <c r="E12" s="83">
        <f t="shared" si="0"/>
        <v>41073</v>
      </c>
      <c r="F12" s="85">
        <v>36</v>
      </c>
      <c r="G12" s="83">
        <f t="shared" si="1"/>
        <v>41109</v>
      </c>
      <c r="I12" s="2">
        <f t="shared" si="2"/>
        <v>54</v>
      </c>
      <c r="J12" s="2" t="str">
        <f t="shared" si="3"/>
        <v>7 weeks 5 days</v>
      </c>
    </row>
    <row r="13" spans="1:14" x14ac:dyDescent="0.25">
      <c r="A13">
        <v>9</v>
      </c>
      <c r="B13" s="85">
        <v>7</v>
      </c>
      <c r="C13" s="83">
        <f t="shared" si="4"/>
        <v>41062</v>
      </c>
      <c r="D13" s="85">
        <v>18</v>
      </c>
      <c r="E13" s="83">
        <f t="shared" si="0"/>
        <v>41080</v>
      </c>
      <c r="F13" s="85">
        <v>36</v>
      </c>
      <c r="G13" s="83">
        <f t="shared" si="1"/>
        <v>41116</v>
      </c>
      <c r="I13" s="2">
        <f t="shared" si="2"/>
        <v>54</v>
      </c>
      <c r="J13" s="2" t="str">
        <f t="shared" si="3"/>
        <v>7 weeks 5 days</v>
      </c>
    </row>
    <row r="14" spans="1:14" x14ac:dyDescent="0.25">
      <c r="A14">
        <v>10</v>
      </c>
      <c r="B14" s="85">
        <v>7</v>
      </c>
      <c r="C14" s="83">
        <f t="shared" si="4"/>
        <v>41069</v>
      </c>
      <c r="D14" s="85">
        <v>18</v>
      </c>
      <c r="E14" s="83">
        <f t="shared" si="0"/>
        <v>41087</v>
      </c>
      <c r="F14" s="85">
        <v>36</v>
      </c>
      <c r="G14" s="83">
        <f t="shared" si="1"/>
        <v>41123</v>
      </c>
      <c r="I14" s="2">
        <f t="shared" si="2"/>
        <v>54</v>
      </c>
      <c r="J14" s="2" t="str">
        <f t="shared" si="3"/>
        <v>7 weeks 5 days</v>
      </c>
    </row>
    <row r="15" spans="1:14" x14ac:dyDescent="0.25">
      <c r="A15">
        <v>11</v>
      </c>
      <c r="B15" s="85">
        <v>7</v>
      </c>
      <c r="C15" s="83">
        <f t="shared" si="4"/>
        <v>41076</v>
      </c>
      <c r="D15" s="85">
        <v>18</v>
      </c>
      <c r="E15" s="83">
        <f t="shared" si="0"/>
        <v>41094</v>
      </c>
      <c r="F15" s="85">
        <v>36</v>
      </c>
      <c r="G15" s="83">
        <f t="shared" si="1"/>
        <v>41130</v>
      </c>
      <c r="I15" s="2">
        <f t="shared" si="2"/>
        <v>54</v>
      </c>
      <c r="J15" s="2" t="str">
        <f t="shared" si="3"/>
        <v>7 weeks 5 days</v>
      </c>
    </row>
    <row r="16" spans="1:14" x14ac:dyDescent="0.25">
      <c r="A16">
        <v>12</v>
      </c>
      <c r="B16" s="85">
        <v>7</v>
      </c>
      <c r="C16" s="83">
        <f t="shared" si="4"/>
        <v>41083</v>
      </c>
      <c r="D16" s="85">
        <v>18</v>
      </c>
      <c r="E16" s="83">
        <f t="shared" si="0"/>
        <v>41101</v>
      </c>
      <c r="F16" s="85">
        <v>36</v>
      </c>
      <c r="G16" s="83">
        <f t="shared" si="1"/>
        <v>41137</v>
      </c>
      <c r="I16" s="2">
        <f t="shared" si="2"/>
        <v>54</v>
      </c>
      <c r="J16" s="2" t="str">
        <f t="shared" si="3"/>
        <v>7 weeks 5 days</v>
      </c>
    </row>
    <row r="17" spans="1:10" x14ac:dyDescent="0.25">
      <c r="A17">
        <v>13</v>
      </c>
      <c r="B17" s="85">
        <v>7</v>
      </c>
      <c r="C17" s="83">
        <f t="shared" si="4"/>
        <v>41090</v>
      </c>
      <c r="D17" s="85">
        <v>18</v>
      </c>
      <c r="E17" s="83">
        <f t="shared" si="0"/>
        <v>41108</v>
      </c>
      <c r="F17" s="85">
        <v>36</v>
      </c>
      <c r="G17" s="83">
        <f t="shared" si="1"/>
        <v>41144</v>
      </c>
      <c r="I17" s="2">
        <f t="shared" si="2"/>
        <v>54</v>
      </c>
      <c r="J17" s="2" t="str">
        <f t="shared" si="3"/>
        <v>7 weeks 5 days</v>
      </c>
    </row>
    <row r="18" spans="1:10" x14ac:dyDescent="0.25">
      <c r="A18">
        <v>14</v>
      </c>
      <c r="B18" s="85">
        <v>7</v>
      </c>
      <c r="C18" s="83">
        <f t="shared" si="4"/>
        <v>41097</v>
      </c>
      <c r="D18" s="85">
        <v>18</v>
      </c>
      <c r="E18" s="83">
        <f t="shared" si="0"/>
        <v>41115</v>
      </c>
      <c r="F18" s="85">
        <v>36</v>
      </c>
      <c r="G18" s="83">
        <f t="shared" si="1"/>
        <v>41151</v>
      </c>
      <c r="I18" s="2">
        <f t="shared" si="2"/>
        <v>54</v>
      </c>
      <c r="J18" s="2" t="str">
        <f t="shared" si="3"/>
        <v>7 weeks 5 days</v>
      </c>
    </row>
    <row r="19" spans="1:10" x14ac:dyDescent="0.25">
      <c r="A19">
        <v>15</v>
      </c>
      <c r="B19" s="85">
        <v>7</v>
      </c>
      <c r="C19" s="83">
        <f t="shared" si="4"/>
        <v>41104</v>
      </c>
      <c r="D19" s="85">
        <v>18</v>
      </c>
      <c r="E19" s="83">
        <f t="shared" si="0"/>
        <v>41122</v>
      </c>
      <c r="F19" s="85">
        <v>36</v>
      </c>
      <c r="G19" s="83">
        <f t="shared" si="1"/>
        <v>41158</v>
      </c>
      <c r="I19" s="2">
        <f t="shared" si="2"/>
        <v>54</v>
      </c>
      <c r="J19" s="2" t="str">
        <f t="shared" si="3"/>
        <v>7 weeks 5 days</v>
      </c>
    </row>
    <row r="20" spans="1:10" x14ac:dyDescent="0.25">
      <c r="A20">
        <v>16</v>
      </c>
      <c r="B20" s="85">
        <v>7</v>
      </c>
      <c r="C20" s="83">
        <f t="shared" si="4"/>
        <v>41111</v>
      </c>
      <c r="D20" s="85">
        <v>18</v>
      </c>
      <c r="E20" s="83">
        <f t="shared" si="0"/>
        <v>41129</v>
      </c>
      <c r="F20" s="85">
        <v>36</v>
      </c>
      <c r="G20" s="83">
        <f t="shared" si="1"/>
        <v>41165</v>
      </c>
      <c r="I20" s="2">
        <f t="shared" si="2"/>
        <v>54</v>
      </c>
      <c r="J20" s="2" t="str">
        <f t="shared" si="3"/>
        <v>7 weeks 5 days</v>
      </c>
    </row>
    <row r="21" spans="1:10" x14ac:dyDescent="0.25">
      <c r="A21">
        <v>17</v>
      </c>
      <c r="B21" s="85">
        <v>7</v>
      </c>
      <c r="C21" s="83">
        <f t="shared" si="4"/>
        <v>41118</v>
      </c>
      <c r="D21" s="85">
        <v>18</v>
      </c>
      <c r="E21" s="83">
        <f t="shared" si="0"/>
        <v>41136</v>
      </c>
      <c r="F21" s="85">
        <v>36</v>
      </c>
      <c r="G21" s="83">
        <f t="shared" si="1"/>
        <v>41172</v>
      </c>
      <c r="I21" s="2">
        <f t="shared" si="2"/>
        <v>54</v>
      </c>
      <c r="J21" s="2" t="str">
        <f t="shared" si="3"/>
        <v>7 weeks 5 days</v>
      </c>
    </row>
    <row r="22" spans="1:10" x14ac:dyDescent="0.25">
      <c r="A22">
        <v>18</v>
      </c>
      <c r="B22" s="85">
        <v>7</v>
      </c>
      <c r="C22" s="83">
        <f t="shared" si="4"/>
        <v>41125</v>
      </c>
      <c r="D22" s="85">
        <v>18</v>
      </c>
      <c r="E22" s="83">
        <f t="shared" si="0"/>
        <v>41143</v>
      </c>
      <c r="F22" s="85">
        <v>36</v>
      </c>
      <c r="G22" s="83">
        <f t="shared" si="1"/>
        <v>41179</v>
      </c>
      <c r="I22" s="2">
        <f t="shared" si="2"/>
        <v>54</v>
      </c>
      <c r="J22" s="2" t="str">
        <f t="shared" si="3"/>
        <v>7 weeks 5 days</v>
      </c>
    </row>
    <row r="23" spans="1:10" x14ac:dyDescent="0.25">
      <c r="A23">
        <v>19</v>
      </c>
      <c r="B23" s="85">
        <v>7</v>
      </c>
      <c r="C23" s="83">
        <f t="shared" si="4"/>
        <v>41132</v>
      </c>
      <c r="D23" s="85">
        <v>18</v>
      </c>
      <c r="E23" s="83">
        <f t="shared" si="0"/>
        <v>41150</v>
      </c>
      <c r="F23" s="85">
        <v>36</v>
      </c>
      <c r="G23" s="83">
        <f t="shared" si="1"/>
        <v>41186</v>
      </c>
      <c r="I23" s="2">
        <f t="shared" si="2"/>
        <v>54</v>
      </c>
      <c r="J23" s="2" t="str">
        <f t="shared" si="3"/>
        <v>7 weeks 5 days</v>
      </c>
    </row>
    <row r="24" spans="1:10" x14ac:dyDescent="0.25">
      <c r="A24">
        <v>20</v>
      </c>
      <c r="B24" s="85">
        <v>7</v>
      </c>
      <c r="C24" s="83">
        <f t="shared" si="4"/>
        <v>41139</v>
      </c>
      <c r="D24" s="85">
        <v>18</v>
      </c>
      <c r="E24" s="83">
        <f t="shared" si="0"/>
        <v>41157</v>
      </c>
      <c r="F24" s="85">
        <v>36</v>
      </c>
      <c r="G24" s="83">
        <f t="shared" si="1"/>
        <v>41193</v>
      </c>
      <c r="I24" s="2">
        <f t="shared" si="2"/>
        <v>54</v>
      </c>
      <c r="J24" s="2" t="str">
        <f t="shared" si="3"/>
        <v>7 weeks 5 days</v>
      </c>
    </row>
    <row r="25" spans="1:10" x14ac:dyDescent="0.25">
      <c r="C25" s="83"/>
      <c r="E25" s="83"/>
      <c r="G25" s="83"/>
      <c r="I25" s="2"/>
    </row>
    <row r="26" spans="1:10" x14ac:dyDescent="0.25">
      <c r="C26" s="83"/>
      <c r="E26" s="83"/>
      <c r="G26" s="83"/>
      <c r="I26" s="2"/>
    </row>
    <row r="27" spans="1:10" x14ac:dyDescent="0.25">
      <c r="C27" s="83"/>
      <c r="E27" s="83"/>
      <c r="G27" s="83"/>
      <c r="I27" s="2"/>
    </row>
    <row r="28" spans="1:10" x14ac:dyDescent="0.25">
      <c r="C28" s="83"/>
      <c r="E28" s="83"/>
      <c r="G28" s="83"/>
      <c r="I28" s="2"/>
    </row>
    <row r="29" spans="1:10" x14ac:dyDescent="0.25">
      <c r="C29" s="83"/>
      <c r="E29" s="83"/>
      <c r="G29" s="83"/>
      <c r="I29" s="2"/>
    </row>
    <row r="30" spans="1:10" x14ac:dyDescent="0.25">
      <c r="C30" s="83"/>
      <c r="E30" s="83"/>
      <c r="G30" s="83"/>
      <c r="I30" s="2"/>
    </row>
    <row r="31" spans="1:10" x14ac:dyDescent="0.25">
      <c r="C31" s="83"/>
      <c r="E31" s="83"/>
      <c r="G31" s="83"/>
      <c r="I31" s="2"/>
    </row>
    <row r="32" spans="1:10" x14ac:dyDescent="0.25">
      <c r="C32" s="83"/>
      <c r="E32" s="83"/>
      <c r="G32" s="83"/>
      <c r="I32" s="2"/>
    </row>
    <row r="33" spans="3:9" x14ac:dyDescent="0.25">
      <c r="C33" s="83"/>
      <c r="E33" s="83"/>
      <c r="G33" s="83"/>
      <c r="I33" s="2"/>
    </row>
    <row r="34" spans="3:9" x14ac:dyDescent="0.25">
      <c r="C34" s="83"/>
      <c r="E34" s="83"/>
      <c r="G34" s="83"/>
      <c r="I34" s="2"/>
    </row>
    <row r="35" spans="3:9" x14ac:dyDescent="0.25">
      <c r="C35" s="83"/>
      <c r="E35" s="83"/>
      <c r="G35" s="83"/>
      <c r="I35" s="2"/>
    </row>
    <row r="36" spans="3:9" x14ac:dyDescent="0.25">
      <c r="C36" s="83"/>
      <c r="E36" s="83"/>
      <c r="G36" s="83"/>
      <c r="I36" s="2"/>
    </row>
    <row r="37" spans="3:9" x14ac:dyDescent="0.25">
      <c r="C37" s="83"/>
      <c r="E37" s="83"/>
      <c r="G37" s="83"/>
      <c r="I37" s="2"/>
    </row>
    <row r="38" spans="3:9" x14ac:dyDescent="0.25">
      <c r="C38" s="83"/>
      <c r="E38" s="83"/>
      <c r="G38" s="83"/>
      <c r="I38" s="2"/>
    </row>
    <row r="39" spans="3:9" x14ac:dyDescent="0.25">
      <c r="C39" s="83"/>
      <c r="E39" s="83"/>
      <c r="G39" s="83"/>
      <c r="I39" s="2"/>
    </row>
    <row r="40" spans="3:9" x14ac:dyDescent="0.25">
      <c r="C40" s="83"/>
      <c r="E40" s="83"/>
      <c r="G40" s="83"/>
      <c r="I40" s="2"/>
    </row>
    <row r="41" spans="3:9" x14ac:dyDescent="0.25">
      <c r="C41" s="83"/>
      <c r="E41" s="83"/>
      <c r="G41" s="83"/>
      <c r="I41" s="2"/>
    </row>
    <row r="42" spans="3:9" x14ac:dyDescent="0.25">
      <c r="C42" s="83"/>
      <c r="E42" s="83"/>
      <c r="G42" s="83"/>
      <c r="I42" s="2"/>
    </row>
    <row r="43" spans="3:9" x14ac:dyDescent="0.25">
      <c r="C43" s="83"/>
      <c r="E43" s="83"/>
      <c r="G43" s="83"/>
      <c r="I43" s="2"/>
    </row>
    <row r="44" spans="3:9" x14ac:dyDescent="0.25">
      <c r="C44" s="83"/>
      <c r="E44" s="83"/>
      <c r="G44" s="83"/>
      <c r="I44" s="2"/>
    </row>
    <row r="45" spans="3:9" x14ac:dyDescent="0.25">
      <c r="C45" s="83"/>
      <c r="E45" s="83"/>
      <c r="G45" s="83"/>
      <c r="I45" s="2"/>
    </row>
    <row r="46" spans="3:9" x14ac:dyDescent="0.25">
      <c r="C46" s="83"/>
      <c r="E46" s="83"/>
      <c r="G46" s="83"/>
      <c r="I46" s="2"/>
    </row>
    <row r="47" spans="3:9" x14ac:dyDescent="0.25">
      <c r="C47" s="83"/>
      <c r="E47" s="83"/>
      <c r="G47" s="83"/>
      <c r="I47" s="2"/>
    </row>
    <row r="48" spans="3:9" x14ac:dyDescent="0.25">
      <c r="C48" s="83"/>
      <c r="E48" s="83"/>
      <c r="G48" s="83"/>
      <c r="I48" s="2"/>
    </row>
    <row r="49" spans="3:9" x14ac:dyDescent="0.25">
      <c r="C49" s="83"/>
      <c r="E49" s="83"/>
      <c r="G49" s="83"/>
      <c r="I49" s="2"/>
    </row>
    <row r="50" spans="3:9" x14ac:dyDescent="0.25">
      <c r="C50" s="83"/>
      <c r="E50" s="83"/>
      <c r="G50" s="83"/>
      <c r="I50" s="2"/>
    </row>
    <row r="51" spans="3:9" x14ac:dyDescent="0.25">
      <c r="C51" s="83"/>
      <c r="E51" s="83"/>
      <c r="G51" s="83"/>
      <c r="I51" s="2"/>
    </row>
    <row r="52" spans="3:9" x14ac:dyDescent="0.25">
      <c r="C52" s="83"/>
      <c r="E52" s="83"/>
      <c r="G52" s="83"/>
      <c r="I52" s="2"/>
    </row>
    <row r="53" spans="3:9" x14ac:dyDescent="0.25">
      <c r="C53" s="83"/>
      <c r="E53" s="83"/>
      <c r="G53" s="83"/>
      <c r="I53" s="2"/>
    </row>
    <row r="54" spans="3:9" x14ac:dyDescent="0.25">
      <c r="C54" s="83"/>
      <c r="E54" s="83"/>
      <c r="G54" s="83"/>
      <c r="I54" s="2"/>
    </row>
  </sheetData>
  <phoneticPr fontId="0" type="noConversion"/>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49"/>
  <sheetViews>
    <sheetView workbookViewId="0">
      <selection activeCell="R34" sqref="R34"/>
    </sheetView>
  </sheetViews>
  <sheetFormatPr defaultRowHeight="13.2" x14ac:dyDescent="0.25"/>
  <cols>
    <col min="2" max="2" width="4.88671875" customWidth="1"/>
    <col min="3" max="59" width="3.33203125" bestFit="1" customWidth="1"/>
    <col min="60" max="60" width="3.109375" customWidth="1"/>
  </cols>
  <sheetData>
    <row r="2" spans="1:60" s="88" customFormat="1" ht="38.4" x14ac:dyDescent="0.25">
      <c r="B2" s="89">
        <v>40909</v>
      </c>
      <c r="C2" s="89">
        <v>40940</v>
      </c>
      <c r="D2" s="89">
        <v>40969</v>
      </c>
      <c r="E2" s="89">
        <v>41000</v>
      </c>
      <c r="F2" s="89">
        <v>41030</v>
      </c>
      <c r="G2" s="89">
        <v>41061</v>
      </c>
      <c r="H2" s="89">
        <v>41091</v>
      </c>
      <c r="I2" s="89">
        <v>41122</v>
      </c>
      <c r="J2" s="89">
        <v>41153</v>
      </c>
      <c r="K2" s="89">
        <v>41183</v>
      </c>
      <c r="L2" s="89">
        <v>41214</v>
      </c>
      <c r="M2" s="89">
        <v>41244</v>
      </c>
      <c r="N2" s="89">
        <v>41275</v>
      </c>
      <c r="O2" s="89">
        <v>41306</v>
      </c>
      <c r="P2" s="89">
        <v>41334</v>
      </c>
      <c r="Q2" s="89">
        <v>41365</v>
      </c>
      <c r="R2" s="89">
        <v>41395</v>
      </c>
      <c r="S2" s="89">
        <v>41426</v>
      </c>
      <c r="T2" s="89">
        <v>41456</v>
      </c>
      <c r="U2" s="89">
        <v>41487</v>
      </c>
      <c r="V2" s="89">
        <v>41518</v>
      </c>
      <c r="W2" s="89">
        <v>41548</v>
      </c>
      <c r="X2" s="89">
        <v>41579</v>
      </c>
      <c r="Y2" s="89">
        <v>41609</v>
      </c>
      <c r="Z2" s="89">
        <v>41640</v>
      </c>
      <c r="AA2" s="89">
        <v>41671</v>
      </c>
      <c r="AB2" s="89">
        <v>41699</v>
      </c>
      <c r="AC2" s="89">
        <v>41730</v>
      </c>
      <c r="AD2" s="89">
        <v>41760</v>
      </c>
      <c r="AE2" s="89">
        <v>41791</v>
      </c>
      <c r="AF2" s="89">
        <v>41821</v>
      </c>
      <c r="AG2" s="89">
        <v>41852</v>
      </c>
      <c r="AH2" s="89">
        <v>41883</v>
      </c>
      <c r="AI2" s="89">
        <v>41913</v>
      </c>
      <c r="AJ2" s="89">
        <v>41944</v>
      </c>
      <c r="AK2" s="89">
        <v>41974</v>
      </c>
      <c r="AL2" s="89">
        <v>42005</v>
      </c>
      <c r="AM2" s="89">
        <v>42036</v>
      </c>
      <c r="AN2" s="89">
        <v>42064</v>
      </c>
      <c r="AO2" s="89">
        <v>42095</v>
      </c>
      <c r="AP2" s="89">
        <v>42125</v>
      </c>
      <c r="AQ2" s="89">
        <v>42156</v>
      </c>
      <c r="AR2" s="89">
        <v>42186</v>
      </c>
      <c r="AS2" s="89">
        <v>42217</v>
      </c>
      <c r="AT2" s="89">
        <v>42248</v>
      </c>
      <c r="AU2" s="89">
        <v>42278</v>
      </c>
      <c r="AV2" s="89">
        <v>42309</v>
      </c>
      <c r="AW2" s="89">
        <v>42339</v>
      </c>
      <c r="AX2" s="89">
        <v>42370</v>
      </c>
      <c r="AY2" s="89">
        <v>42401</v>
      </c>
      <c r="AZ2" s="89">
        <v>42430</v>
      </c>
      <c r="BA2" s="89">
        <v>42461</v>
      </c>
      <c r="BB2" s="89">
        <v>42491</v>
      </c>
      <c r="BC2" s="89">
        <v>42522</v>
      </c>
      <c r="BD2" s="89">
        <v>42552</v>
      </c>
      <c r="BE2" s="89">
        <v>42583</v>
      </c>
      <c r="BF2" s="89">
        <v>42614</v>
      </c>
      <c r="BG2" s="89">
        <v>42644</v>
      </c>
      <c r="BH2" s="89">
        <v>42675</v>
      </c>
    </row>
    <row r="3" spans="1:60" s="88" customFormat="1" x14ac:dyDescent="0.25">
      <c r="A3" s="90" t="s">
        <v>97</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row>
    <row r="4" spans="1:60" x14ac:dyDescent="0.25">
      <c r="A4">
        <v>1</v>
      </c>
      <c r="B4" s="91"/>
      <c r="C4" s="91"/>
      <c r="D4" s="91"/>
      <c r="E4" s="91"/>
      <c r="F4" s="91"/>
      <c r="G4" s="91"/>
      <c r="H4" s="91"/>
      <c r="I4" s="91"/>
      <c r="J4" s="85"/>
      <c r="K4" s="85"/>
      <c r="L4" s="85"/>
      <c r="M4" s="91"/>
      <c r="N4" s="91"/>
      <c r="O4" s="91"/>
      <c r="P4" s="91"/>
      <c r="Q4" s="91"/>
      <c r="R4" s="91"/>
      <c r="S4" s="91"/>
      <c r="T4" s="91"/>
      <c r="U4" s="91"/>
      <c r="V4" s="91"/>
      <c r="W4" s="92"/>
    </row>
    <row r="5" spans="1:60" x14ac:dyDescent="0.25">
      <c r="A5">
        <v>2</v>
      </c>
      <c r="B5" s="93"/>
      <c r="E5" s="94"/>
      <c r="F5" s="94"/>
      <c r="G5" s="94"/>
      <c r="H5" s="94"/>
      <c r="I5" s="94"/>
      <c r="J5" s="91"/>
      <c r="K5" s="91"/>
      <c r="L5" s="91"/>
      <c r="M5" s="91"/>
      <c r="N5" s="91"/>
      <c r="O5" s="91"/>
      <c r="P5" s="91"/>
      <c r="Q5" s="91"/>
      <c r="R5" s="91"/>
      <c r="S5" s="91"/>
      <c r="T5" s="91"/>
      <c r="U5" s="91"/>
      <c r="V5" s="91"/>
      <c r="W5" s="85"/>
      <c r="X5" s="85"/>
      <c r="Y5" s="85"/>
      <c r="Z5" s="91"/>
      <c r="AA5" s="91"/>
      <c r="AB5" s="91"/>
      <c r="AC5" s="91"/>
      <c r="AD5" s="91"/>
      <c r="AE5" s="91"/>
      <c r="AF5" s="91"/>
      <c r="AG5" s="91"/>
      <c r="AH5" s="91"/>
      <c r="AI5" s="91"/>
      <c r="AJ5" s="92"/>
    </row>
    <row r="6" spans="1:60" x14ac:dyDescent="0.25">
      <c r="A6">
        <v>3</v>
      </c>
      <c r="B6" s="93"/>
      <c r="P6" s="94"/>
      <c r="Q6" s="94"/>
      <c r="R6" s="94"/>
      <c r="S6" s="94"/>
      <c r="T6" s="94"/>
      <c r="U6" s="91"/>
      <c r="V6" s="91"/>
      <c r="W6" s="91"/>
      <c r="X6" s="91"/>
      <c r="Y6" s="91"/>
      <c r="Z6" s="91"/>
      <c r="AA6" s="91"/>
      <c r="AB6" s="91"/>
      <c r="AC6" s="91"/>
      <c r="AD6" s="91"/>
      <c r="AE6" s="91"/>
      <c r="AF6" s="91"/>
      <c r="AG6" s="91"/>
      <c r="AH6" s="85"/>
      <c r="AI6" s="85"/>
      <c r="AJ6" s="85"/>
      <c r="AK6" s="91"/>
      <c r="AL6" s="91"/>
      <c r="AM6" s="91"/>
      <c r="AN6" s="91"/>
      <c r="AO6" s="91"/>
      <c r="AP6" s="91"/>
      <c r="AQ6" s="91"/>
      <c r="AR6" s="91"/>
      <c r="AS6" s="91"/>
      <c r="AT6" s="91"/>
      <c r="AU6" s="92"/>
    </row>
    <row r="7" spans="1:60" x14ac:dyDescent="0.25">
      <c r="A7">
        <v>4</v>
      </c>
      <c r="B7" s="93"/>
      <c r="Z7" s="94"/>
      <c r="AA7" s="94"/>
      <c r="AB7" s="94"/>
      <c r="AC7" s="94"/>
      <c r="AD7" s="94"/>
      <c r="AE7" s="91"/>
      <c r="AF7" s="91"/>
      <c r="AG7" s="91"/>
      <c r="AH7" s="91"/>
      <c r="AI7" s="91"/>
      <c r="AJ7" s="91"/>
      <c r="AK7" s="91"/>
      <c r="AL7" s="91"/>
      <c r="AM7" s="91"/>
      <c r="AN7" s="91"/>
      <c r="AO7" s="91"/>
      <c r="AP7" s="91"/>
      <c r="AQ7" s="91"/>
      <c r="AR7" s="85"/>
      <c r="AS7" s="85"/>
      <c r="AT7" s="85"/>
      <c r="AU7" s="91"/>
      <c r="AV7" s="91"/>
      <c r="AW7" s="91"/>
      <c r="AX7" s="91"/>
      <c r="AY7" s="91"/>
      <c r="AZ7" s="91"/>
      <c r="BA7" s="91"/>
      <c r="BB7" s="91"/>
      <c r="BC7" s="91"/>
      <c r="BD7" s="91"/>
      <c r="BE7" s="92"/>
    </row>
    <row r="8" spans="1:60" x14ac:dyDescent="0.25">
      <c r="A8">
        <v>5</v>
      </c>
      <c r="B8" s="93"/>
      <c r="AC8" s="94"/>
      <c r="AD8" s="94"/>
      <c r="AE8" s="94"/>
      <c r="AF8" s="94"/>
      <c r="AG8" s="94"/>
      <c r="AH8" s="91"/>
      <c r="AI8" s="91"/>
      <c r="AJ8" s="91"/>
      <c r="AK8" s="91"/>
      <c r="AL8" s="91"/>
      <c r="AM8" s="91"/>
      <c r="AN8" s="91"/>
      <c r="AO8" s="91"/>
      <c r="AP8" s="91"/>
      <c r="AQ8" s="91"/>
      <c r="AR8" s="91"/>
      <c r="AS8" s="91"/>
      <c r="AT8" s="91"/>
      <c r="AU8" s="85"/>
      <c r="AV8" s="85"/>
      <c r="AW8" s="85"/>
      <c r="AX8" s="91"/>
      <c r="AY8" s="91"/>
      <c r="AZ8" s="91"/>
      <c r="BA8" s="91"/>
      <c r="BB8" s="91"/>
      <c r="BC8" s="91"/>
      <c r="BD8" s="91"/>
      <c r="BE8" s="91"/>
      <c r="BF8" s="91"/>
      <c r="BG8" s="91"/>
      <c r="BH8" s="92"/>
    </row>
    <row r="9" spans="1:60" x14ac:dyDescent="0.25">
      <c r="A9">
        <v>6</v>
      </c>
      <c r="B9" s="93"/>
    </row>
    <row r="10" spans="1:60" x14ac:dyDescent="0.25">
      <c r="A10">
        <v>7</v>
      </c>
      <c r="B10" s="93"/>
    </row>
    <row r="11" spans="1:60" x14ac:dyDescent="0.25">
      <c r="A11">
        <v>8</v>
      </c>
      <c r="B11" s="93"/>
    </row>
    <row r="12" spans="1:60" x14ac:dyDescent="0.25">
      <c r="A12">
        <v>9</v>
      </c>
      <c r="B12" s="93"/>
    </row>
    <row r="13" spans="1:60" x14ac:dyDescent="0.25">
      <c r="A13">
        <v>10</v>
      </c>
      <c r="B13" s="93"/>
    </row>
    <row r="14" spans="1:60" x14ac:dyDescent="0.25">
      <c r="B14" s="93"/>
    </row>
    <row r="15" spans="1:60" x14ac:dyDescent="0.25">
      <c r="B15" s="93"/>
    </row>
    <row r="16" spans="1:60" x14ac:dyDescent="0.25">
      <c r="B16" s="93"/>
    </row>
    <row r="17" spans="1:2" x14ac:dyDescent="0.25">
      <c r="B17" s="93"/>
    </row>
    <row r="18" spans="1:2" x14ac:dyDescent="0.25">
      <c r="B18" s="93"/>
    </row>
    <row r="19" spans="1:2" x14ac:dyDescent="0.25">
      <c r="B19" s="93"/>
    </row>
    <row r="20" spans="1:2" x14ac:dyDescent="0.25">
      <c r="B20" s="93"/>
    </row>
    <row r="21" spans="1:2" x14ac:dyDescent="0.25">
      <c r="A21" s="94"/>
      <c r="B21" s="95" t="s">
        <v>98</v>
      </c>
    </row>
    <row r="22" spans="1:2" x14ac:dyDescent="0.25">
      <c r="A22" s="91"/>
      <c r="B22" s="95" t="s">
        <v>99</v>
      </c>
    </row>
    <row r="23" spans="1:2" x14ac:dyDescent="0.25">
      <c r="A23" s="85"/>
      <c r="B23" s="95" t="s">
        <v>100</v>
      </c>
    </row>
    <row r="24" spans="1:2" x14ac:dyDescent="0.25">
      <c r="A24" s="92"/>
      <c r="B24" s="95" t="s">
        <v>101</v>
      </c>
    </row>
    <row r="25" spans="1:2" x14ac:dyDescent="0.25">
      <c r="B25" s="93"/>
    </row>
    <row r="26" spans="1:2" x14ac:dyDescent="0.25">
      <c r="B26" s="93"/>
    </row>
    <row r="27" spans="1:2" x14ac:dyDescent="0.25">
      <c r="B27" s="93"/>
    </row>
    <row r="28" spans="1:2" x14ac:dyDescent="0.25">
      <c r="B28" s="93"/>
    </row>
    <row r="29" spans="1:2" x14ac:dyDescent="0.25">
      <c r="B29" s="93"/>
    </row>
    <row r="30" spans="1:2" x14ac:dyDescent="0.25">
      <c r="B30" s="93"/>
    </row>
    <row r="31" spans="1:2" x14ac:dyDescent="0.25">
      <c r="B31" s="93"/>
    </row>
    <row r="32" spans="1:2" x14ac:dyDescent="0.25">
      <c r="B32" s="93"/>
    </row>
    <row r="33" spans="2:2" x14ac:dyDescent="0.25">
      <c r="B33" s="93"/>
    </row>
    <row r="34" spans="2:2" x14ac:dyDescent="0.25">
      <c r="B34" s="93"/>
    </row>
    <row r="35" spans="2:2" x14ac:dyDescent="0.25">
      <c r="B35" s="93"/>
    </row>
    <row r="36" spans="2:2" x14ac:dyDescent="0.25">
      <c r="B36" s="93"/>
    </row>
    <row r="37" spans="2:2" x14ac:dyDescent="0.25">
      <c r="B37" s="93"/>
    </row>
    <row r="38" spans="2:2" x14ac:dyDescent="0.25">
      <c r="B38" s="93"/>
    </row>
    <row r="39" spans="2:2" x14ac:dyDescent="0.25">
      <c r="B39" s="93"/>
    </row>
    <row r="40" spans="2:2" x14ac:dyDescent="0.25">
      <c r="B40" s="93"/>
    </row>
    <row r="41" spans="2:2" x14ac:dyDescent="0.25">
      <c r="B41" s="93"/>
    </row>
    <row r="42" spans="2:2" x14ac:dyDescent="0.25">
      <c r="B42" s="93"/>
    </row>
    <row r="43" spans="2:2" x14ac:dyDescent="0.25">
      <c r="B43" s="93"/>
    </row>
    <row r="44" spans="2:2" x14ac:dyDescent="0.25">
      <c r="B44" s="93"/>
    </row>
    <row r="45" spans="2:2" x14ac:dyDescent="0.25">
      <c r="B45" s="93"/>
    </row>
    <row r="46" spans="2:2" x14ac:dyDescent="0.25">
      <c r="B46" s="93"/>
    </row>
    <row r="47" spans="2:2" x14ac:dyDescent="0.25">
      <c r="B47" s="93"/>
    </row>
    <row r="48" spans="2:2" x14ac:dyDescent="0.25">
      <c r="B48" s="93"/>
    </row>
    <row r="49" spans="2:2" x14ac:dyDescent="0.25">
      <c r="B49" s="93"/>
    </row>
  </sheetData>
  <phoneticPr fontId="0"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7"/>
  <sheetViews>
    <sheetView topLeftCell="A6" zoomScale="75" zoomScaleNormal="75" workbookViewId="0">
      <selection activeCell="E59" sqref="E59"/>
    </sheetView>
  </sheetViews>
  <sheetFormatPr defaultRowHeight="13.2" x14ac:dyDescent="0.25"/>
  <cols>
    <col min="1" max="1" width="25.88671875" customWidth="1"/>
    <col min="3" max="3" width="15.6640625" bestFit="1" customWidth="1"/>
    <col min="4" max="4" width="12.33203125" customWidth="1"/>
    <col min="6" max="6" width="15.6640625" bestFit="1" customWidth="1"/>
    <col min="7" max="7" width="13.88671875" bestFit="1" customWidth="1"/>
    <col min="9" max="9" width="15.6640625" bestFit="1" customWidth="1"/>
    <col min="10" max="10" width="13.109375" bestFit="1" customWidth="1"/>
    <col min="12" max="12" width="15.6640625" bestFit="1" customWidth="1"/>
    <col min="13" max="13" width="12.88671875" bestFit="1" customWidth="1"/>
  </cols>
  <sheetData>
    <row r="2" spans="1:14" ht="21" x14ac:dyDescent="0.4">
      <c r="A2" s="14" t="s">
        <v>179</v>
      </c>
      <c r="D2" s="14" t="s">
        <v>108</v>
      </c>
    </row>
    <row r="3" spans="1:14" ht="13.8" x14ac:dyDescent="0.3">
      <c r="B3" s="98" t="s">
        <v>109</v>
      </c>
      <c r="D3" s="99" t="s">
        <v>110</v>
      </c>
    </row>
    <row r="4" spans="1:14" ht="13.8" x14ac:dyDescent="0.3">
      <c r="B4" s="100"/>
    </row>
    <row r="5" spans="1:14" ht="14.4" thickBot="1" x14ac:dyDescent="0.35">
      <c r="B5" s="101"/>
      <c r="C5" s="27" t="s">
        <v>111</v>
      </c>
      <c r="D5" s="27"/>
      <c r="E5" s="27"/>
      <c r="F5" s="27" t="s">
        <v>112</v>
      </c>
      <c r="G5" s="27"/>
      <c r="H5" s="27"/>
      <c r="I5" s="27" t="s">
        <v>113</v>
      </c>
      <c r="J5" s="27"/>
      <c r="K5" s="27"/>
      <c r="L5" s="27" t="s">
        <v>114</v>
      </c>
      <c r="M5" s="27"/>
      <c r="N5" s="27"/>
    </row>
    <row r="6" spans="1:14" ht="13.8" thickBot="1" x14ac:dyDescent="0.3">
      <c r="B6" s="102" t="s">
        <v>115</v>
      </c>
      <c r="C6" s="103">
        <v>200</v>
      </c>
      <c r="D6" s="104" t="s">
        <v>116</v>
      </c>
      <c r="E6" s="105"/>
      <c r="F6" s="103">
        <v>2000</v>
      </c>
      <c r="G6" s="104" t="s">
        <v>116</v>
      </c>
      <c r="H6" s="105"/>
      <c r="I6" s="103">
        <v>2000</v>
      </c>
      <c r="J6" s="104" t="s">
        <v>116</v>
      </c>
      <c r="K6" s="105"/>
      <c r="L6" s="103">
        <v>2000</v>
      </c>
      <c r="M6" s="104" t="s">
        <v>116</v>
      </c>
      <c r="N6" s="105"/>
    </row>
    <row r="7" spans="1:14" x14ac:dyDescent="0.25">
      <c r="B7" s="102"/>
      <c r="C7" s="106" t="s">
        <v>117</v>
      </c>
      <c r="D7" s="107"/>
      <c r="E7" s="108"/>
      <c r="F7" s="106" t="s">
        <v>117</v>
      </c>
      <c r="G7" s="107"/>
      <c r="H7" s="108"/>
      <c r="I7" s="106" t="s">
        <v>117</v>
      </c>
      <c r="J7" s="107"/>
      <c r="K7" s="108"/>
      <c r="L7" s="106" t="s">
        <v>117</v>
      </c>
      <c r="M7" s="107"/>
      <c r="N7" s="108"/>
    </row>
    <row r="8" spans="1:14" x14ac:dyDescent="0.25">
      <c r="B8" s="102" t="s">
        <v>118</v>
      </c>
      <c r="C8" s="106" t="s">
        <v>119</v>
      </c>
      <c r="D8" s="109">
        <v>25</v>
      </c>
      <c r="E8" s="108"/>
      <c r="F8" s="106" t="s">
        <v>119</v>
      </c>
      <c r="G8" s="109">
        <v>25</v>
      </c>
      <c r="H8" s="108"/>
      <c r="I8" s="106" t="s">
        <v>119</v>
      </c>
      <c r="J8" s="109">
        <v>25</v>
      </c>
      <c r="K8" s="108"/>
      <c r="L8" s="106" t="s">
        <v>119</v>
      </c>
      <c r="M8" s="109">
        <v>25</v>
      </c>
      <c r="N8" s="108"/>
    </row>
    <row r="9" spans="1:14" x14ac:dyDescent="0.25">
      <c r="B9" s="102" t="s">
        <v>120</v>
      </c>
      <c r="C9" s="106" t="s">
        <v>121</v>
      </c>
      <c r="D9" s="110">
        <v>0.32</v>
      </c>
      <c r="E9" s="108"/>
      <c r="F9" s="106" t="s">
        <v>121</v>
      </c>
      <c r="G9" s="110">
        <v>0.32</v>
      </c>
      <c r="H9" s="108"/>
      <c r="I9" s="106" t="s">
        <v>121</v>
      </c>
      <c r="J9" s="110">
        <v>0.32</v>
      </c>
      <c r="K9" s="108"/>
      <c r="L9" s="106" t="s">
        <v>121</v>
      </c>
      <c r="M9" s="110">
        <v>0.32</v>
      </c>
      <c r="N9" s="108"/>
    </row>
    <row r="10" spans="1:14" x14ac:dyDescent="0.25">
      <c r="B10" s="102"/>
      <c r="C10" s="111" t="s">
        <v>122</v>
      </c>
      <c r="D10" s="112">
        <f>+D9*D8</f>
        <v>8</v>
      </c>
      <c r="E10" s="108"/>
      <c r="F10" s="111" t="s">
        <v>122</v>
      </c>
      <c r="G10" s="112">
        <f>+G9*G8</f>
        <v>8</v>
      </c>
      <c r="H10" s="108"/>
      <c r="I10" s="111" t="s">
        <v>122</v>
      </c>
      <c r="J10" s="112">
        <f>+J9*J8</f>
        <v>8</v>
      </c>
      <c r="K10" s="108"/>
      <c r="L10" s="111" t="s">
        <v>122</v>
      </c>
      <c r="M10" s="112">
        <f>+M9*M8</f>
        <v>8</v>
      </c>
      <c r="N10" s="108"/>
    </row>
    <row r="11" spans="1:14" x14ac:dyDescent="0.25">
      <c r="B11" s="102" t="s">
        <v>123</v>
      </c>
      <c r="C11" s="111" t="s">
        <v>124</v>
      </c>
      <c r="D11" s="110">
        <v>1.25</v>
      </c>
      <c r="E11" s="108"/>
      <c r="F11" s="111" t="s">
        <v>124</v>
      </c>
      <c r="G11" s="110">
        <v>1.25</v>
      </c>
      <c r="H11" s="108"/>
      <c r="I11" s="111" t="s">
        <v>124</v>
      </c>
      <c r="J11" s="110">
        <v>1.25</v>
      </c>
      <c r="K11" s="108"/>
      <c r="L11" s="111" t="s">
        <v>124</v>
      </c>
      <c r="M11" s="110">
        <v>1.25</v>
      </c>
      <c r="N11" s="108"/>
    </row>
    <row r="12" spans="1:14" x14ac:dyDescent="0.25">
      <c r="B12" s="102"/>
      <c r="C12" s="106" t="s">
        <v>125</v>
      </c>
      <c r="D12" s="113">
        <f>SUM(D10:D11)</f>
        <v>9.25</v>
      </c>
      <c r="E12" s="108"/>
      <c r="F12" s="106" t="s">
        <v>125</v>
      </c>
      <c r="G12" s="113">
        <f>SUM(G10:G11)</f>
        <v>9.25</v>
      </c>
      <c r="H12" s="108"/>
      <c r="I12" s="106" t="s">
        <v>125</v>
      </c>
      <c r="J12" s="113">
        <f>SUM(J10:J11)</f>
        <v>9.25</v>
      </c>
      <c r="K12" s="108"/>
      <c r="L12" s="106" t="s">
        <v>125</v>
      </c>
      <c r="M12" s="113">
        <f>SUM(M10:M11)</f>
        <v>9.25</v>
      </c>
      <c r="N12" s="108"/>
    </row>
    <row r="13" spans="1:14" x14ac:dyDescent="0.25">
      <c r="B13" s="102" t="s">
        <v>126</v>
      </c>
      <c r="C13" s="106" t="s">
        <v>127</v>
      </c>
      <c r="D13" s="114">
        <v>0.1</v>
      </c>
      <c r="E13" s="108"/>
      <c r="F13" s="106" t="s">
        <v>127</v>
      </c>
      <c r="G13" s="114">
        <v>0.1</v>
      </c>
      <c r="H13" s="108"/>
      <c r="I13" s="106" t="s">
        <v>127</v>
      </c>
      <c r="J13" s="114">
        <v>0.1</v>
      </c>
      <c r="K13" s="108"/>
      <c r="L13" s="106" t="s">
        <v>127</v>
      </c>
      <c r="M13" s="114">
        <v>0.1</v>
      </c>
      <c r="N13" s="108"/>
    </row>
    <row r="14" spans="1:14" x14ac:dyDescent="0.25">
      <c r="B14" s="102" t="s">
        <v>128</v>
      </c>
      <c r="C14" s="106" t="s">
        <v>129</v>
      </c>
      <c r="D14" s="113">
        <f>+D12*C6*D13</f>
        <v>185</v>
      </c>
      <c r="E14" s="108"/>
      <c r="F14" s="106" t="s">
        <v>129</v>
      </c>
      <c r="G14" s="113">
        <f>+G12*F6*G13</f>
        <v>1850</v>
      </c>
      <c r="H14" s="108"/>
      <c r="I14" s="106" t="s">
        <v>129</v>
      </c>
      <c r="J14" s="113">
        <f>+J12*I6*J13</f>
        <v>1850</v>
      </c>
      <c r="K14" s="108"/>
      <c r="L14" s="106" t="s">
        <v>129</v>
      </c>
      <c r="M14" s="113">
        <f>+M12*L6*M13</f>
        <v>1850</v>
      </c>
      <c r="N14" s="108"/>
    </row>
    <row r="15" spans="1:14" ht="13.8" thickBot="1" x14ac:dyDescent="0.3">
      <c r="B15" s="102" t="s">
        <v>130</v>
      </c>
      <c r="C15" s="106" t="s">
        <v>131</v>
      </c>
      <c r="D15" s="112">
        <f>+D12*C6+D14</f>
        <v>2035</v>
      </c>
      <c r="E15" s="108"/>
      <c r="F15" s="106" t="s">
        <v>131</v>
      </c>
      <c r="G15" s="112">
        <f>+G12*F6+G14</f>
        <v>20350</v>
      </c>
      <c r="H15" s="108"/>
      <c r="I15" s="106" t="s">
        <v>131</v>
      </c>
      <c r="J15" s="112">
        <f>+J12*I6+J14</f>
        <v>20350</v>
      </c>
      <c r="K15" s="108"/>
      <c r="L15" s="106" t="s">
        <v>131</v>
      </c>
      <c r="M15" s="112">
        <f>+M12*L6+M14</f>
        <v>20350</v>
      </c>
      <c r="N15" s="108"/>
    </row>
    <row r="16" spans="1:14" x14ac:dyDescent="0.25">
      <c r="B16" s="102" t="s">
        <v>132</v>
      </c>
      <c r="C16" s="115" t="s">
        <v>121</v>
      </c>
      <c r="D16" s="116">
        <v>0.32</v>
      </c>
      <c r="E16" s="117"/>
      <c r="F16" s="115" t="s">
        <v>121</v>
      </c>
      <c r="G16" s="116">
        <v>0.32</v>
      </c>
      <c r="H16" s="117"/>
      <c r="I16" s="115" t="s">
        <v>121</v>
      </c>
      <c r="J16" s="116">
        <v>0.32</v>
      </c>
      <c r="K16" s="117"/>
      <c r="L16" s="115" t="s">
        <v>121</v>
      </c>
      <c r="M16" s="116">
        <v>0.32</v>
      </c>
      <c r="N16" s="117"/>
    </row>
    <row r="17" spans="2:14" x14ac:dyDescent="0.25">
      <c r="B17" s="102" t="s">
        <v>133</v>
      </c>
      <c r="C17" s="118" t="s">
        <v>134</v>
      </c>
      <c r="D17" s="109">
        <v>8.6999999999999993</v>
      </c>
      <c r="E17" s="119"/>
      <c r="F17" s="118" t="s">
        <v>134</v>
      </c>
      <c r="G17" s="109">
        <v>8.6999999999999993</v>
      </c>
      <c r="H17" s="119"/>
      <c r="I17" s="118" t="s">
        <v>134</v>
      </c>
      <c r="J17" s="109">
        <v>8.6999999999999993</v>
      </c>
      <c r="K17" s="119"/>
      <c r="L17" s="118" t="s">
        <v>134</v>
      </c>
      <c r="M17" s="109">
        <v>8.6999999999999993</v>
      </c>
      <c r="N17" s="119"/>
    </row>
    <row r="18" spans="2:14" x14ac:dyDescent="0.25">
      <c r="B18" s="102"/>
      <c r="C18" s="118" t="s">
        <v>135</v>
      </c>
      <c r="D18" s="107">
        <f>+D17*C6</f>
        <v>1739.9999999999998</v>
      </c>
      <c r="E18" s="119"/>
      <c r="F18" s="118" t="s">
        <v>135</v>
      </c>
      <c r="G18" s="107">
        <f>+G17*F6</f>
        <v>17400</v>
      </c>
      <c r="H18" s="119"/>
      <c r="I18" s="118" t="s">
        <v>135</v>
      </c>
      <c r="J18" s="107">
        <f>+J17*I6</f>
        <v>17400</v>
      </c>
      <c r="K18" s="119"/>
      <c r="L18" s="118" t="s">
        <v>135</v>
      </c>
      <c r="M18" s="107">
        <f>+M17*L6</f>
        <v>17400</v>
      </c>
      <c r="N18" s="119"/>
    </row>
    <row r="19" spans="2:14" ht="13.8" thickBot="1" x14ac:dyDescent="0.3">
      <c r="B19" s="120"/>
      <c r="C19" s="121" t="s">
        <v>136</v>
      </c>
      <c r="D19" s="122">
        <f>+D17*D16*C6</f>
        <v>556.79999999999995</v>
      </c>
      <c r="E19" s="123"/>
      <c r="F19" s="121" t="s">
        <v>136</v>
      </c>
      <c r="G19" s="122">
        <f>+G17*G16*F6</f>
        <v>5568</v>
      </c>
      <c r="H19" s="123"/>
      <c r="I19" s="121" t="s">
        <v>136</v>
      </c>
      <c r="J19" s="122">
        <f>+J17*J16*I6</f>
        <v>5568</v>
      </c>
      <c r="K19" s="123"/>
      <c r="L19" s="121" t="s">
        <v>136</v>
      </c>
      <c r="M19" s="122">
        <f>+M17*M16*L6</f>
        <v>5568</v>
      </c>
      <c r="N19" s="123"/>
    </row>
    <row r="20" spans="2:14" x14ac:dyDescent="0.25">
      <c r="B20" s="102" t="s">
        <v>137</v>
      </c>
      <c r="C20" s="124" t="s">
        <v>34</v>
      </c>
      <c r="D20" s="125">
        <v>0.89500000000000002</v>
      </c>
      <c r="E20" s="126"/>
      <c r="F20" s="124" t="s">
        <v>34</v>
      </c>
      <c r="G20" s="125">
        <v>0.89500000000000002</v>
      </c>
      <c r="H20" s="126"/>
      <c r="I20" s="124" t="s">
        <v>34</v>
      </c>
      <c r="J20" s="125">
        <v>0.8</v>
      </c>
      <c r="K20" s="126"/>
      <c r="L20" s="124" t="s">
        <v>34</v>
      </c>
      <c r="M20" s="125">
        <v>0.89</v>
      </c>
      <c r="N20" s="126"/>
    </row>
    <row r="21" spans="2:14" x14ac:dyDescent="0.25">
      <c r="B21" s="102"/>
      <c r="C21" s="124" t="s">
        <v>138</v>
      </c>
      <c r="D21" s="107">
        <f>+C6*D20</f>
        <v>179</v>
      </c>
      <c r="E21" s="126"/>
      <c r="F21" s="124" t="s">
        <v>138</v>
      </c>
      <c r="G21" s="107">
        <f>+F6*G20</f>
        <v>1790</v>
      </c>
      <c r="H21" s="126"/>
      <c r="I21" s="124" t="s">
        <v>138</v>
      </c>
      <c r="J21" s="107">
        <f>+I6*J20</f>
        <v>1600</v>
      </c>
      <c r="K21" s="126"/>
      <c r="L21" s="124" t="s">
        <v>138</v>
      </c>
      <c r="M21" s="107">
        <f>+L6*M20</f>
        <v>1780</v>
      </c>
      <c r="N21" s="126"/>
    </row>
    <row r="22" spans="2:14" x14ac:dyDescent="0.25">
      <c r="B22" s="102"/>
      <c r="C22" s="124" t="s">
        <v>138</v>
      </c>
      <c r="D22" s="127">
        <f>+D21/12</f>
        <v>14.916666666666666</v>
      </c>
      <c r="E22" s="126" t="s">
        <v>139</v>
      </c>
      <c r="F22" s="124" t="s">
        <v>138</v>
      </c>
      <c r="G22" s="127">
        <f>+G21/12</f>
        <v>149.16666666666666</v>
      </c>
      <c r="H22" s="126" t="s">
        <v>139</v>
      </c>
      <c r="I22" s="124" t="s">
        <v>138</v>
      </c>
      <c r="J22" s="127">
        <f>+J21/12</f>
        <v>133.33333333333334</v>
      </c>
      <c r="K22" s="126" t="s">
        <v>139</v>
      </c>
      <c r="L22" s="124" t="s">
        <v>138</v>
      </c>
      <c r="M22" s="127">
        <f>+M21/12</f>
        <v>148.33333333333334</v>
      </c>
      <c r="N22" s="126" t="s">
        <v>139</v>
      </c>
    </row>
    <row r="23" spans="2:14" x14ac:dyDescent="0.25">
      <c r="B23" s="102"/>
      <c r="C23" s="124" t="s">
        <v>140</v>
      </c>
      <c r="D23" s="128">
        <f>+D22*7</f>
        <v>104.41666666666666</v>
      </c>
      <c r="E23" s="126" t="s">
        <v>139</v>
      </c>
      <c r="F23" s="124" t="s">
        <v>140</v>
      </c>
      <c r="G23" s="128">
        <f>+G22*7</f>
        <v>1044.1666666666665</v>
      </c>
      <c r="H23" s="126" t="s">
        <v>139</v>
      </c>
      <c r="I23" s="124" t="s">
        <v>140</v>
      </c>
      <c r="J23" s="128">
        <f>+J22*7</f>
        <v>933.33333333333337</v>
      </c>
      <c r="K23" s="126" t="s">
        <v>139</v>
      </c>
      <c r="L23" s="124" t="s">
        <v>140</v>
      </c>
      <c r="M23" s="128">
        <f>+M22*7</f>
        <v>1038.3333333333335</v>
      </c>
      <c r="N23" s="126" t="s">
        <v>139</v>
      </c>
    </row>
    <row r="24" spans="2:14" x14ac:dyDescent="0.25">
      <c r="B24" s="102"/>
      <c r="C24" s="124" t="s">
        <v>141</v>
      </c>
      <c r="D24" s="128">
        <f>+D21*30/12</f>
        <v>447.5</v>
      </c>
      <c r="E24" s="126" t="s">
        <v>139</v>
      </c>
      <c r="F24" s="124" t="s">
        <v>141</v>
      </c>
      <c r="G24" s="107">
        <f>+G21*30/12</f>
        <v>4475</v>
      </c>
      <c r="H24" s="126" t="s">
        <v>139</v>
      </c>
      <c r="I24" s="124" t="s">
        <v>141</v>
      </c>
      <c r="J24" s="107">
        <f>+J21*30/12</f>
        <v>4000</v>
      </c>
      <c r="K24" s="126" t="s">
        <v>139</v>
      </c>
      <c r="L24" s="124" t="s">
        <v>141</v>
      </c>
      <c r="M24" s="107">
        <f>+M21*30/12</f>
        <v>4450</v>
      </c>
      <c r="N24" s="126" t="s">
        <v>139</v>
      </c>
    </row>
    <row r="25" spans="2:14" x14ac:dyDescent="0.25">
      <c r="B25" s="102"/>
      <c r="C25" s="124" t="s">
        <v>142</v>
      </c>
      <c r="D25" s="128">
        <f>+D21*365/12</f>
        <v>5444.583333333333</v>
      </c>
      <c r="E25" s="126" t="s">
        <v>139</v>
      </c>
      <c r="F25" s="124" t="s">
        <v>142</v>
      </c>
      <c r="G25" s="128">
        <f>+G21*365/12</f>
        <v>54445.833333333336</v>
      </c>
      <c r="H25" s="126" t="s">
        <v>139</v>
      </c>
      <c r="I25" s="124" t="s">
        <v>142</v>
      </c>
      <c r="J25" s="128">
        <f>+J21*365/12</f>
        <v>48666.666666666664</v>
      </c>
      <c r="K25" s="126" t="s">
        <v>139</v>
      </c>
      <c r="L25" s="124" t="s">
        <v>142</v>
      </c>
      <c r="M25" s="128">
        <f>+M21*365/12</f>
        <v>54141.666666666664</v>
      </c>
      <c r="N25" s="126" t="s">
        <v>139</v>
      </c>
    </row>
    <row r="26" spans="2:14" x14ac:dyDescent="0.25">
      <c r="B26" s="102" t="s">
        <v>143</v>
      </c>
      <c r="C26" s="124" t="s">
        <v>144</v>
      </c>
      <c r="D26" s="110">
        <v>4.5</v>
      </c>
      <c r="E26" s="126"/>
      <c r="F26" s="124" t="s">
        <v>144</v>
      </c>
      <c r="G26" s="110">
        <v>4.5</v>
      </c>
      <c r="H26" s="126"/>
      <c r="I26" s="124" t="s">
        <v>144</v>
      </c>
      <c r="J26" s="110">
        <v>2.0699999999999998</v>
      </c>
      <c r="K26" s="126"/>
      <c r="L26" s="124" t="s">
        <v>144</v>
      </c>
      <c r="M26" s="110">
        <v>1.93</v>
      </c>
      <c r="N26" s="126"/>
    </row>
    <row r="27" spans="2:14" x14ac:dyDescent="0.25">
      <c r="B27" s="102" t="s">
        <v>145</v>
      </c>
      <c r="C27" s="124" t="s">
        <v>146</v>
      </c>
      <c r="D27" s="129">
        <v>0</v>
      </c>
      <c r="E27" s="126"/>
      <c r="F27" s="124" t="s">
        <v>146</v>
      </c>
      <c r="G27" s="129">
        <v>0</v>
      </c>
      <c r="H27" s="126"/>
      <c r="I27" s="124" t="s">
        <v>146</v>
      </c>
      <c r="J27" s="129">
        <v>0</v>
      </c>
      <c r="K27" s="126"/>
      <c r="L27" s="124" t="s">
        <v>146</v>
      </c>
      <c r="M27" s="129">
        <v>0</v>
      </c>
      <c r="N27" s="126"/>
    </row>
    <row r="28" spans="2:14" x14ac:dyDescent="0.25">
      <c r="B28" s="102"/>
      <c r="C28" s="124" t="s">
        <v>147</v>
      </c>
      <c r="D28" s="112">
        <f>+D26-(D26*D27)</f>
        <v>4.5</v>
      </c>
      <c r="E28" s="126"/>
      <c r="F28" s="124" t="s">
        <v>147</v>
      </c>
      <c r="G28" s="112">
        <f>+G26-(G26*G27)</f>
        <v>4.5</v>
      </c>
      <c r="H28" s="126"/>
      <c r="I28" s="124" t="s">
        <v>147</v>
      </c>
      <c r="J28" s="112">
        <f>+J26-(J26*J27)</f>
        <v>2.0699999999999998</v>
      </c>
      <c r="K28" s="126"/>
      <c r="L28" s="124" t="s">
        <v>147</v>
      </c>
      <c r="M28" s="112">
        <f>+M26-(M26*M27)</f>
        <v>1.93</v>
      </c>
      <c r="N28" s="126"/>
    </row>
    <row r="29" spans="2:14" x14ac:dyDescent="0.25">
      <c r="B29" s="102"/>
      <c r="C29" s="124" t="s">
        <v>148</v>
      </c>
      <c r="D29" s="112">
        <f>+D28*D24</f>
        <v>2013.75</v>
      </c>
      <c r="E29" s="126"/>
      <c r="F29" s="124" t="s">
        <v>148</v>
      </c>
      <c r="G29" s="112">
        <f>+G28*G24</f>
        <v>20137.5</v>
      </c>
      <c r="H29" s="126"/>
      <c r="I29" s="124" t="s">
        <v>148</v>
      </c>
      <c r="J29" s="112">
        <f>+J28*J24</f>
        <v>8280</v>
      </c>
      <c r="K29" s="126"/>
      <c r="L29" s="124" t="s">
        <v>148</v>
      </c>
      <c r="M29" s="112">
        <f>+M28*M24</f>
        <v>8588.5</v>
      </c>
      <c r="N29" s="126"/>
    </row>
    <row r="30" spans="2:14" x14ac:dyDescent="0.25">
      <c r="B30" s="102"/>
      <c r="C30" s="124"/>
      <c r="D30" s="107"/>
      <c r="E30" s="126"/>
      <c r="F30" s="124"/>
      <c r="G30" s="107"/>
      <c r="H30" s="126"/>
      <c r="I30" s="124"/>
      <c r="J30" s="107"/>
      <c r="K30" s="126"/>
      <c r="L30" s="124"/>
      <c r="M30" s="107"/>
      <c r="N30" s="126"/>
    </row>
    <row r="31" spans="2:14" x14ac:dyDescent="0.25">
      <c r="B31" s="102"/>
      <c r="C31" s="124" t="s">
        <v>149</v>
      </c>
      <c r="D31" s="113">
        <f>+D29-D19</f>
        <v>1456.95</v>
      </c>
      <c r="E31" s="126"/>
      <c r="F31" s="124" t="s">
        <v>149</v>
      </c>
      <c r="G31" s="113">
        <f>+G29-G19</f>
        <v>14569.5</v>
      </c>
      <c r="H31" s="126"/>
      <c r="I31" s="124" t="s">
        <v>149</v>
      </c>
      <c r="J31" s="113">
        <f>+J29-J19</f>
        <v>2712</v>
      </c>
      <c r="K31" s="126"/>
      <c r="L31" s="124" t="s">
        <v>149</v>
      </c>
      <c r="M31" s="113">
        <f>+M29-M19</f>
        <v>3020.5</v>
      </c>
      <c r="N31" s="126"/>
    </row>
    <row r="32" spans="2:14" ht="13.8" thickBot="1" x14ac:dyDescent="0.3">
      <c r="B32" s="102"/>
      <c r="C32" s="124" t="s">
        <v>150</v>
      </c>
      <c r="D32" s="112">
        <f>+D31*12</f>
        <v>17483.400000000001</v>
      </c>
      <c r="E32" s="126"/>
      <c r="F32" s="124" t="s">
        <v>150</v>
      </c>
      <c r="G32" s="112">
        <f>+G31*12</f>
        <v>174834</v>
      </c>
      <c r="H32" s="126"/>
      <c r="I32" s="124" t="s">
        <v>150</v>
      </c>
      <c r="J32" s="112">
        <f>+J31*12</f>
        <v>32544</v>
      </c>
      <c r="K32" s="126"/>
      <c r="L32" s="124" t="s">
        <v>150</v>
      </c>
      <c r="M32" s="112">
        <f>+M31*12</f>
        <v>36246</v>
      </c>
      <c r="N32" s="126"/>
    </row>
    <row r="33" spans="2:14" x14ac:dyDescent="0.25">
      <c r="B33" s="102" t="s">
        <v>151</v>
      </c>
      <c r="C33" s="130" t="s">
        <v>152</v>
      </c>
      <c r="D33" s="131">
        <v>10</v>
      </c>
      <c r="E33" s="132"/>
      <c r="F33" s="130" t="s">
        <v>152</v>
      </c>
      <c r="G33" s="131">
        <v>30</v>
      </c>
      <c r="H33" s="132"/>
      <c r="I33" s="130" t="s">
        <v>152</v>
      </c>
      <c r="J33" s="131">
        <v>0</v>
      </c>
      <c r="K33" s="132"/>
      <c r="L33" s="130" t="s">
        <v>152</v>
      </c>
      <c r="M33" s="131">
        <v>0</v>
      </c>
      <c r="N33" s="132"/>
    </row>
    <row r="34" spans="2:14" x14ac:dyDescent="0.25">
      <c r="B34" s="102" t="s">
        <v>153</v>
      </c>
      <c r="C34" s="106" t="s">
        <v>154</v>
      </c>
      <c r="D34" s="110">
        <v>13</v>
      </c>
      <c r="E34" s="108"/>
      <c r="F34" s="106" t="s">
        <v>154</v>
      </c>
      <c r="G34" s="110">
        <v>13</v>
      </c>
      <c r="H34" s="108"/>
      <c r="I34" s="106" t="s">
        <v>154</v>
      </c>
      <c r="J34" s="110">
        <v>13</v>
      </c>
      <c r="K34" s="108"/>
      <c r="L34" s="106" t="s">
        <v>154</v>
      </c>
      <c r="M34" s="110">
        <v>13</v>
      </c>
      <c r="N34" s="108"/>
    </row>
    <row r="35" spans="2:14" x14ac:dyDescent="0.25">
      <c r="B35" s="102"/>
      <c r="C35" s="106" t="s">
        <v>155</v>
      </c>
      <c r="D35" s="112">
        <f>+D34*D33*52</f>
        <v>6760</v>
      </c>
      <c r="E35" s="108"/>
      <c r="F35" s="106" t="s">
        <v>155</v>
      </c>
      <c r="G35" s="112">
        <f>+G34*G33*52</f>
        <v>20280</v>
      </c>
      <c r="H35" s="108"/>
      <c r="I35" s="106" t="s">
        <v>155</v>
      </c>
      <c r="J35" s="112">
        <f>+J34*J33*52</f>
        <v>0</v>
      </c>
      <c r="K35" s="108"/>
      <c r="L35" s="106" t="s">
        <v>155</v>
      </c>
      <c r="M35" s="112">
        <f>+M34*M33*52</f>
        <v>0</v>
      </c>
      <c r="N35" s="108"/>
    </row>
    <row r="36" spans="2:14" x14ac:dyDescent="0.25">
      <c r="B36" s="102" t="s">
        <v>156</v>
      </c>
      <c r="C36" s="106" t="s">
        <v>157</v>
      </c>
      <c r="D36" s="110">
        <v>0.12</v>
      </c>
      <c r="E36" s="108"/>
      <c r="F36" s="106" t="s">
        <v>157</v>
      </c>
      <c r="G36" s="110">
        <v>0.12</v>
      </c>
      <c r="H36" s="108"/>
      <c r="I36" s="106" t="s">
        <v>157</v>
      </c>
      <c r="J36" s="110">
        <v>0.12</v>
      </c>
      <c r="K36" s="108"/>
      <c r="L36" s="106" t="s">
        <v>157</v>
      </c>
      <c r="M36" s="110">
        <v>0.12</v>
      </c>
      <c r="N36" s="108"/>
    </row>
    <row r="37" spans="2:14" x14ac:dyDescent="0.25">
      <c r="B37" s="102"/>
      <c r="C37" s="106" t="s">
        <v>158</v>
      </c>
      <c r="D37" s="110">
        <f>+D36*D25</f>
        <v>653.34999999999991</v>
      </c>
      <c r="E37" s="108"/>
      <c r="F37" s="106" t="s">
        <v>158</v>
      </c>
      <c r="G37" s="110">
        <f>+G36*G25</f>
        <v>6533.5</v>
      </c>
      <c r="H37" s="108"/>
      <c r="I37" s="106" t="s">
        <v>158</v>
      </c>
      <c r="J37" s="110">
        <f>+J36*J25</f>
        <v>5839.9999999999991</v>
      </c>
      <c r="K37" s="108"/>
      <c r="L37" s="106" t="s">
        <v>158</v>
      </c>
      <c r="M37" s="110">
        <f>+M36*M25</f>
        <v>6496.9999999999991</v>
      </c>
      <c r="N37" s="108"/>
    </row>
    <row r="38" spans="2:14" x14ac:dyDescent="0.25">
      <c r="B38" s="102" t="s">
        <v>159</v>
      </c>
      <c r="C38" s="133" t="s">
        <v>160</v>
      </c>
      <c r="D38" s="110">
        <v>1000</v>
      </c>
      <c r="E38" s="108"/>
      <c r="F38" s="133" t="s">
        <v>160</v>
      </c>
      <c r="G38" s="110">
        <v>4000</v>
      </c>
      <c r="H38" s="108"/>
      <c r="I38" s="133" t="s">
        <v>160</v>
      </c>
      <c r="J38" s="110">
        <v>4000</v>
      </c>
      <c r="K38" s="108"/>
      <c r="L38" s="133" t="s">
        <v>160</v>
      </c>
      <c r="M38" s="110">
        <v>4000</v>
      </c>
      <c r="N38" s="108"/>
    </row>
    <row r="39" spans="2:14" x14ac:dyDescent="0.25">
      <c r="B39" s="102" t="s">
        <v>159</v>
      </c>
      <c r="C39" s="133" t="s">
        <v>161</v>
      </c>
      <c r="D39" s="110">
        <v>100</v>
      </c>
      <c r="E39" s="108"/>
      <c r="F39" s="133" t="s">
        <v>161</v>
      </c>
      <c r="G39" s="110">
        <v>800</v>
      </c>
      <c r="H39" s="108"/>
      <c r="I39" s="133" t="s">
        <v>161</v>
      </c>
      <c r="J39" s="110">
        <v>800</v>
      </c>
      <c r="K39" s="108"/>
      <c r="L39" s="133" t="s">
        <v>161</v>
      </c>
      <c r="M39" s="110">
        <v>800</v>
      </c>
      <c r="N39" s="108"/>
    </row>
    <row r="40" spans="2:14" x14ac:dyDescent="0.25">
      <c r="B40" s="102" t="s">
        <v>159</v>
      </c>
      <c r="C40" s="133" t="s">
        <v>162</v>
      </c>
      <c r="D40" s="110">
        <v>150</v>
      </c>
      <c r="E40" s="108"/>
      <c r="F40" s="133" t="s">
        <v>162</v>
      </c>
      <c r="G40" s="110">
        <v>1200</v>
      </c>
      <c r="H40" s="108"/>
      <c r="I40" s="133" t="s">
        <v>162</v>
      </c>
      <c r="J40" s="110">
        <v>1200</v>
      </c>
      <c r="K40" s="108"/>
      <c r="L40" s="133" t="s">
        <v>162</v>
      </c>
      <c r="M40" s="110">
        <v>1200</v>
      </c>
      <c r="N40" s="108"/>
    </row>
    <row r="41" spans="2:14" x14ac:dyDescent="0.25">
      <c r="B41" s="102" t="s">
        <v>159</v>
      </c>
      <c r="C41" s="133" t="s">
        <v>163</v>
      </c>
      <c r="D41" s="110"/>
      <c r="E41" s="108"/>
      <c r="F41" s="133" t="s">
        <v>164</v>
      </c>
      <c r="G41" s="110"/>
      <c r="H41" s="108"/>
      <c r="I41" s="133" t="s">
        <v>164</v>
      </c>
      <c r="J41" s="110"/>
      <c r="K41" s="108"/>
      <c r="L41" s="133" t="s">
        <v>164</v>
      </c>
      <c r="M41" s="110"/>
      <c r="N41" s="108"/>
    </row>
    <row r="42" spans="2:14" ht="13.8" thickBot="1" x14ac:dyDescent="0.3">
      <c r="B42" s="102" t="s">
        <v>159</v>
      </c>
      <c r="C42" s="134" t="s">
        <v>165</v>
      </c>
      <c r="D42" s="135">
        <v>200</v>
      </c>
      <c r="E42" s="136"/>
      <c r="F42" s="134" t="s">
        <v>165</v>
      </c>
      <c r="G42" s="135">
        <v>200</v>
      </c>
      <c r="H42" s="136"/>
      <c r="I42" s="134" t="s">
        <v>165</v>
      </c>
      <c r="J42" s="135">
        <v>200</v>
      </c>
      <c r="K42" s="136"/>
      <c r="L42" s="134" t="s">
        <v>165</v>
      </c>
      <c r="M42" s="135">
        <v>200</v>
      </c>
      <c r="N42" s="136"/>
    </row>
    <row r="43" spans="2:14" x14ac:dyDescent="0.25">
      <c r="B43" s="102"/>
      <c r="C43" s="124" t="s">
        <v>166</v>
      </c>
      <c r="D43" s="113">
        <f>SUM(D35:D42)</f>
        <v>8863.4699999999993</v>
      </c>
      <c r="E43" s="126"/>
      <c r="F43" s="124" t="s">
        <v>166</v>
      </c>
      <c r="G43" s="113">
        <f>SUM(G35:G42)</f>
        <v>33013.619999999995</v>
      </c>
      <c r="H43" s="126"/>
      <c r="I43" s="124" t="s">
        <v>166</v>
      </c>
      <c r="J43" s="113">
        <f>SUM(J35:J42)</f>
        <v>12040.119999999999</v>
      </c>
      <c r="K43" s="126"/>
      <c r="L43" s="124" t="s">
        <v>166</v>
      </c>
      <c r="M43" s="113">
        <f>SUM(M35:M42)</f>
        <v>12697.119999999999</v>
      </c>
      <c r="N43" s="126"/>
    </row>
    <row r="44" spans="2:14" ht="13.8" thickBot="1" x14ac:dyDescent="0.3">
      <c r="B44" s="102"/>
      <c r="C44" s="124" t="s">
        <v>167</v>
      </c>
      <c r="D44" s="113">
        <f>+D15</f>
        <v>2035</v>
      </c>
      <c r="E44" s="126"/>
      <c r="F44" s="124" t="s">
        <v>167</v>
      </c>
      <c r="G44" s="113">
        <f>+G15</f>
        <v>20350</v>
      </c>
      <c r="H44" s="126"/>
      <c r="I44" s="124" t="s">
        <v>167</v>
      </c>
      <c r="J44" s="113">
        <f>+J15</f>
        <v>20350</v>
      </c>
      <c r="K44" s="126"/>
      <c r="L44" s="124" t="s">
        <v>167</v>
      </c>
      <c r="M44" s="113">
        <f>+M15</f>
        <v>20350</v>
      </c>
      <c r="N44" s="126"/>
    </row>
    <row r="45" spans="2:14" ht="13.8" thickBot="1" x14ac:dyDescent="0.3">
      <c r="B45" s="102" t="s">
        <v>168</v>
      </c>
      <c r="C45" s="137" t="s">
        <v>169</v>
      </c>
      <c r="D45" s="138">
        <f>+D32-D43-D44</f>
        <v>6584.9300000000021</v>
      </c>
      <c r="E45" s="139"/>
      <c r="F45" s="137" t="s">
        <v>169</v>
      </c>
      <c r="G45" s="138">
        <f>+G32-G43-G44</f>
        <v>121470.38</v>
      </c>
      <c r="H45" s="139"/>
      <c r="I45" s="137" t="s">
        <v>169</v>
      </c>
      <c r="J45" s="138">
        <f>+J32-J43-J44</f>
        <v>153.88000000000102</v>
      </c>
      <c r="K45" s="139"/>
      <c r="L45" s="137" t="s">
        <v>169</v>
      </c>
      <c r="M45" s="138">
        <f>+M32-M43-M44</f>
        <v>3198.880000000001</v>
      </c>
      <c r="N45" s="139"/>
    </row>
    <row r="46" spans="2:14" ht="13.8" thickBot="1" x14ac:dyDescent="0.3">
      <c r="B46" s="102" t="s">
        <v>170</v>
      </c>
      <c r="C46" s="140" t="s">
        <v>171</v>
      </c>
      <c r="D46" s="141">
        <f>+D32-D43</f>
        <v>8619.9300000000021</v>
      </c>
      <c r="E46" s="142"/>
      <c r="F46" s="140" t="s">
        <v>171</v>
      </c>
      <c r="G46" s="141">
        <f>+G32-G43</f>
        <v>141820.38</v>
      </c>
      <c r="H46" s="142"/>
      <c r="I46" s="140" t="s">
        <v>171</v>
      </c>
      <c r="J46" s="141">
        <f>+J32-J43</f>
        <v>20503.88</v>
      </c>
      <c r="K46" s="142"/>
      <c r="L46" s="140" t="s">
        <v>171</v>
      </c>
      <c r="M46" s="141">
        <f>+M32-M43</f>
        <v>23548.880000000001</v>
      </c>
      <c r="N46" s="142"/>
    </row>
    <row r="47" spans="2:14" x14ac:dyDescent="0.25">
      <c r="B47" s="102" t="s">
        <v>172</v>
      </c>
      <c r="C47" s="143" t="s">
        <v>173</v>
      </c>
      <c r="D47" s="112">
        <v>2</v>
      </c>
      <c r="E47" s="126"/>
      <c r="F47" s="143" t="s">
        <v>173</v>
      </c>
      <c r="G47" s="112">
        <v>2</v>
      </c>
      <c r="H47" s="126"/>
      <c r="I47" s="143" t="s">
        <v>173</v>
      </c>
      <c r="J47" s="112">
        <v>2</v>
      </c>
      <c r="K47" s="126"/>
      <c r="L47" s="143" t="s">
        <v>173</v>
      </c>
      <c r="M47" s="112">
        <v>2</v>
      </c>
      <c r="N47" s="126"/>
    </row>
    <row r="48" spans="2:14" ht="13.8" thickBot="1" x14ac:dyDescent="0.3">
      <c r="B48" s="102" t="s">
        <v>174</v>
      </c>
      <c r="C48" s="143" t="s">
        <v>175</v>
      </c>
      <c r="D48" s="112">
        <f>+D47*C6</f>
        <v>400</v>
      </c>
      <c r="E48" s="126"/>
      <c r="F48" s="143" t="s">
        <v>175</v>
      </c>
      <c r="G48" s="112">
        <f>+G47*F6</f>
        <v>4000</v>
      </c>
      <c r="H48" s="126"/>
      <c r="I48" s="143" t="s">
        <v>175</v>
      </c>
      <c r="J48" s="112">
        <f>+J47*I6</f>
        <v>4000</v>
      </c>
      <c r="K48" s="126"/>
      <c r="L48" s="143" t="s">
        <v>175</v>
      </c>
      <c r="M48" s="112">
        <f>+M47*L6</f>
        <v>4000</v>
      </c>
      <c r="N48" s="126"/>
    </row>
    <row r="49" spans="2:14" ht="13.8" thickBot="1" x14ac:dyDescent="0.3">
      <c r="B49" s="102" t="s">
        <v>176</v>
      </c>
      <c r="C49" s="137" t="s">
        <v>177</v>
      </c>
      <c r="D49" s="144">
        <f>+D46+D48</f>
        <v>9019.9300000000021</v>
      </c>
      <c r="E49" s="139"/>
      <c r="F49" s="137" t="s">
        <v>177</v>
      </c>
      <c r="G49" s="144">
        <f>+G46+G48</f>
        <v>145820.38</v>
      </c>
      <c r="H49" s="139"/>
      <c r="I49" s="137" t="s">
        <v>177</v>
      </c>
      <c r="J49" s="144">
        <f>+J46+J48</f>
        <v>24503.88</v>
      </c>
      <c r="K49" s="139"/>
      <c r="L49" s="137" t="s">
        <v>177</v>
      </c>
      <c r="M49" s="144">
        <f>+M46+M48</f>
        <v>27548.880000000001</v>
      </c>
      <c r="N49" s="139"/>
    </row>
    <row r="50" spans="2:14" ht="13.8" x14ac:dyDescent="0.3">
      <c r="B50" s="100"/>
    </row>
    <row r="51" spans="2:14" x14ac:dyDescent="0.25">
      <c r="B51" s="145" t="s">
        <v>178</v>
      </c>
    </row>
    <row r="52" spans="2:14" ht="13.8" x14ac:dyDescent="0.3">
      <c r="B52" s="100"/>
    </row>
    <row r="53" spans="2:14" ht="13.8" x14ac:dyDescent="0.3">
      <c r="B53" s="100"/>
      <c r="C53" s="146"/>
    </row>
    <row r="54" spans="2:14" ht="13.8" x14ac:dyDescent="0.3">
      <c r="B54" s="100"/>
      <c r="C54" s="147"/>
    </row>
    <row r="55" spans="2:14" ht="13.8" x14ac:dyDescent="0.3">
      <c r="B55" s="100"/>
      <c r="C55" s="69"/>
    </row>
    <row r="56" spans="2:14" ht="13.8" x14ac:dyDescent="0.3">
      <c r="B56" s="100"/>
    </row>
    <row r="57" spans="2:14" ht="13.8" x14ac:dyDescent="0.3">
      <c r="B57" s="100"/>
    </row>
  </sheetData>
  <phoneticPr fontId="0" type="noConversion"/>
  <hyperlinks>
    <hyperlink ref="B51" r:id="rId1"/>
    <hyperlink ref="B3" r:id="rId2"/>
  </hyperlinks>
  <pageMargins left="0.25" right="0.25" top="0.75" bottom="0.25" header="0.3" footer="0.3"/>
  <pageSetup scale="70" orientation="landscape"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42"/>
  <sheetViews>
    <sheetView topLeftCell="A6" zoomScale="85" zoomScaleNormal="85" workbookViewId="0">
      <selection activeCell="E10" sqref="E10"/>
    </sheetView>
  </sheetViews>
  <sheetFormatPr defaultRowHeight="13.2" x14ac:dyDescent="0.25"/>
  <cols>
    <col min="1" max="1" width="30.6640625" customWidth="1"/>
    <col min="2" max="4" width="9.33203125" bestFit="1" customWidth="1"/>
    <col min="5" max="5" width="10.44140625" customWidth="1"/>
    <col min="6" max="6" width="20.109375" customWidth="1"/>
    <col min="7" max="7" width="12" customWidth="1"/>
    <col min="8" max="8" width="14.33203125" customWidth="1"/>
    <col min="9" max="9" width="9.33203125" bestFit="1" customWidth="1"/>
    <col min="10" max="10" width="10.44140625" bestFit="1" customWidth="1"/>
    <col min="11" max="11" width="24" bestFit="1" customWidth="1"/>
    <col min="12" max="12" width="13.5546875" bestFit="1" customWidth="1"/>
  </cols>
  <sheetData>
    <row r="1" spans="1:12" ht="21" x14ac:dyDescent="0.4">
      <c r="A1" s="148" t="s">
        <v>179</v>
      </c>
      <c r="B1" s="149"/>
      <c r="C1" s="149"/>
      <c r="D1" s="148" t="s">
        <v>180</v>
      </c>
      <c r="E1" s="149"/>
      <c r="F1" s="149"/>
      <c r="G1" s="149"/>
      <c r="H1" s="149"/>
      <c r="I1" s="149"/>
      <c r="J1" s="149"/>
      <c r="K1" s="149"/>
      <c r="L1" s="149"/>
    </row>
    <row r="2" spans="1:12" ht="13.8" x14ac:dyDescent="0.3">
      <c r="A2" s="145" t="s">
        <v>109</v>
      </c>
      <c r="B2" s="149"/>
      <c r="C2" s="149"/>
      <c r="D2" s="150" t="s">
        <v>110</v>
      </c>
      <c r="E2" s="149"/>
      <c r="F2" s="149"/>
      <c r="G2" s="149"/>
      <c r="H2" s="149"/>
      <c r="I2" s="149"/>
      <c r="J2" s="149"/>
      <c r="K2" s="149"/>
      <c r="L2" s="149"/>
    </row>
    <row r="3" spans="1:12" ht="13.8" x14ac:dyDescent="0.3">
      <c r="A3" s="145" t="s">
        <v>313</v>
      </c>
      <c r="B3" s="150"/>
      <c r="C3" s="149"/>
      <c r="D3" s="149"/>
      <c r="E3" s="149"/>
      <c r="F3" s="149"/>
      <c r="G3" s="149"/>
      <c r="H3" s="149"/>
      <c r="I3" s="149"/>
      <c r="J3" s="149"/>
      <c r="K3" s="149"/>
      <c r="L3" s="149"/>
    </row>
    <row r="4" spans="1:12" ht="14.4" thickBot="1" x14ac:dyDescent="0.35">
      <c r="A4" s="145"/>
      <c r="B4" s="150"/>
      <c r="C4" s="149"/>
      <c r="D4" s="149"/>
      <c r="E4" s="149"/>
      <c r="F4" s="149"/>
      <c r="G4" s="149"/>
      <c r="H4" s="149"/>
      <c r="I4" s="149"/>
      <c r="J4" s="149"/>
      <c r="K4" s="149"/>
      <c r="L4" s="149"/>
    </row>
    <row r="5" spans="1:12" ht="14.4" thickBot="1" x14ac:dyDescent="0.35">
      <c r="A5" s="151" t="s">
        <v>111</v>
      </c>
      <c r="B5" s="152" t="s">
        <v>181</v>
      </c>
      <c r="C5" s="153"/>
      <c r="D5" s="153"/>
      <c r="E5" s="153"/>
      <c r="F5" s="153"/>
      <c r="G5" s="153"/>
      <c r="H5" s="153"/>
      <c r="I5" s="153"/>
      <c r="J5" s="153"/>
      <c r="K5" s="154"/>
      <c r="L5" s="155"/>
    </row>
    <row r="6" spans="1:12" ht="13.8" thickBot="1" x14ac:dyDescent="0.3">
      <c r="A6" s="156" t="s">
        <v>182</v>
      </c>
      <c r="B6" s="157" t="s">
        <v>183</v>
      </c>
      <c r="C6" s="158" t="s">
        <v>184</v>
      </c>
      <c r="D6" s="158" t="s">
        <v>185</v>
      </c>
      <c r="E6" s="159" t="s">
        <v>32</v>
      </c>
      <c r="F6" s="156" t="s">
        <v>186</v>
      </c>
      <c r="G6" s="160"/>
      <c r="H6" s="161"/>
      <c r="I6" s="161"/>
      <c r="J6" s="162"/>
      <c r="K6" s="163">
        <v>100</v>
      </c>
      <c r="L6" s="164" t="s">
        <v>116</v>
      </c>
    </row>
    <row r="7" spans="1:12" x14ac:dyDescent="0.25">
      <c r="A7" s="165" t="s">
        <v>187</v>
      </c>
      <c r="B7" s="166">
        <v>0.5</v>
      </c>
      <c r="C7" s="167">
        <v>1</v>
      </c>
      <c r="D7" s="168">
        <f t="shared" ref="D7:D19" si="0">+B$24</f>
        <v>10</v>
      </c>
      <c r="E7" s="169">
        <f t="shared" ref="E7:E23" si="1">+D7*C7*B7</f>
        <v>5</v>
      </c>
      <c r="F7" s="170"/>
      <c r="G7" s="171"/>
      <c r="H7" s="171"/>
      <c r="I7" s="171"/>
      <c r="J7" s="172"/>
      <c r="K7" s="173" t="s">
        <v>188</v>
      </c>
      <c r="L7" s="174">
        <f>+J17</f>
        <v>16.974999999999998</v>
      </c>
    </row>
    <row r="8" spans="1:12" x14ac:dyDescent="0.25">
      <c r="A8" s="175" t="s">
        <v>189</v>
      </c>
      <c r="B8" s="166">
        <v>0.5</v>
      </c>
      <c r="C8" s="166">
        <f>+G19</f>
        <v>18</v>
      </c>
      <c r="D8" s="176">
        <f t="shared" si="0"/>
        <v>10</v>
      </c>
      <c r="E8" s="169">
        <f t="shared" si="1"/>
        <v>90</v>
      </c>
      <c r="F8" s="170" t="s">
        <v>190</v>
      </c>
      <c r="G8" s="171"/>
      <c r="H8" s="171"/>
      <c r="I8" s="171" t="s">
        <v>32</v>
      </c>
      <c r="J8" s="172" t="s">
        <v>191</v>
      </c>
      <c r="K8" s="173" t="s">
        <v>192</v>
      </c>
      <c r="L8" s="177">
        <v>0.34</v>
      </c>
    </row>
    <row r="9" spans="1:12" x14ac:dyDescent="0.25">
      <c r="A9" s="175" t="s">
        <v>193</v>
      </c>
      <c r="B9" s="166">
        <v>1</v>
      </c>
      <c r="C9" s="166">
        <v>1</v>
      </c>
      <c r="D9" s="176">
        <f t="shared" si="0"/>
        <v>10</v>
      </c>
      <c r="E9" s="169">
        <f t="shared" si="1"/>
        <v>10</v>
      </c>
      <c r="F9" s="170" t="s">
        <v>194</v>
      </c>
      <c r="G9" s="171" t="s">
        <v>195</v>
      </c>
      <c r="H9" s="171" t="s">
        <v>196</v>
      </c>
      <c r="I9" s="178" t="s">
        <v>197</v>
      </c>
      <c r="J9" s="172"/>
      <c r="K9" s="173" t="s">
        <v>122</v>
      </c>
      <c r="L9" s="179">
        <f>+L8*L7</f>
        <v>5.7714999999999996</v>
      </c>
    </row>
    <row r="10" spans="1:12" x14ac:dyDescent="0.25">
      <c r="A10" s="175" t="s">
        <v>198</v>
      </c>
      <c r="B10" s="166">
        <v>0.5</v>
      </c>
      <c r="C10" s="166">
        <f>+G20</f>
        <v>38</v>
      </c>
      <c r="D10" s="176">
        <f t="shared" si="0"/>
        <v>10</v>
      </c>
      <c r="E10" s="169">
        <f t="shared" si="1"/>
        <v>190</v>
      </c>
      <c r="F10" s="175">
        <v>35</v>
      </c>
      <c r="G10" s="180">
        <f>+G$16*H10</f>
        <v>6.125</v>
      </c>
      <c r="H10" s="181">
        <v>1.75</v>
      </c>
      <c r="I10" s="171">
        <f>+G10*K$6</f>
        <v>612.5</v>
      </c>
      <c r="J10" s="182">
        <v>8.99</v>
      </c>
      <c r="K10" s="173" t="s">
        <v>199</v>
      </c>
      <c r="L10" s="177">
        <v>1.1000000000000001</v>
      </c>
    </row>
    <row r="11" spans="1:12" x14ac:dyDescent="0.25">
      <c r="A11" s="175" t="s">
        <v>200</v>
      </c>
      <c r="B11" s="166">
        <v>2</v>
      </c>
      <c r="C11" s="166">
        <v>1</v>
      </c>
      <c r="D11" s="176">
        <f t="shared" si="0"/>
        <v>10</v>
      </c>
      <c r="E11" s="169">
        <f t="shared" si="1"/>
        <v>20</v>
      </c>
      <c r="F11" s="175">
        <v>42</v>
      </c>
      <c r="G11" s="180">
        <f>+G$16*H11</f>
        <v>8.75</v>
      </c>
      <c r="H11" s="181">
        <v>2.5</v>
      </c>
      <c r="I11" s="171">
        <f>+G11*K$6</f>
        <v>875</v>
      </c>
      <c r="J11" s="182">
        <v>6.99</v>
      </c>
      <c r="K11" s="173" t="s">
        <v>201</v>
      </c>
      <c r="L11" s="183">
        <f>SUM(L9:L10)</f>
        <v>6.8714999999999993</v>
      </c>
    </row>
    <row r="12" spans="1:12" x14ac:dyDescent="0.25">
      <c r="A12" s="175" t="s">
        <v>202</v>
      </c>
      <c r="B12" s="166">
        <v>2</v>
      </c>
      <c r="C12" s="166">
        <v>1</v>
      </c>
      <c r="D12" s="176">
        <f t="shared" si="0"/>
        <v>10</v>
      </c>
      <c r="E12" s="169">
        <f t="shared" si="1"/>
        <v>20</v>
      </c>
      <c r="F12" s="175">
        <v>49</v>
      </c>
      <c r="G12" s="180">
        <f>+G$16*H12</f>
        <v>12.25</v>
      </c>
      <c r="H12" s="181">
        <v>3.5</v>
      </c>
      <c r="I12" s="171">
        <f>+G12*K$6</f>
        <v>1225</v>
      </c>
      <c r="J12" s="182">
        <v>4.99</v>
      </c>
      <c r="K12" s="173" t="s">
        <v>203</v>
      </c>
      <c r="L12" s="184">
        <f>+E37/100</f>
        <v>0.01</v>
      </c>
    </row>
    <row r="13" spans="1:12" x14ac:dyDescent="0.25">
      <c r="A13" s="175" t="s">
        <v>204</v>
      </c>
      <c r="B13" s="166">
        <v>0.5</v>
      </c>
      <c r="C13" s="166">
        <v>1</v>
      </c>
      <c r="D13" s="176">
        <f t="shared" si="0"/>
        <v>10</v>
      </c>
      <c r="E13" s="169">
        <f t="shared" si="1"/>
        <v>5</v>
      </c>
      <c r="F13" s="175">
        <v>56</v>
      </c>
      <c r="G13" s="180">
        <f>+G$16*H13</f>
        <v>16.974999999999998</v>
      </c>
      <c r="H13" s="181">
        <v>4.8499999999999996</v>
      </c>
      <c r="I13" s="171">
        <f>+G13*K$6</f>
        <v>1697.4999999999998</v>
      </c>
      <c r="J13" s="182">
        <v>4.5</v>
      </c>
      <c r="K13" s="173" t="s">
        <v>129</v>
      </c>
      <c r="L13" s="183">
        <f>+L11*K6*L12</f>
        <v>6.8715000000000002</v>
      </c>
    </row>
    <row r="14" spans="1:12" x14ac:dyDescent="0.25">
      <c r="A14" s="175" t="s">
        <v>205</v>
      </c>
      <c r="B14" s="166">
        <v>2</v>
      </c>
      <c r="C14" s="166">
        <v>1</v>
      </c>
      <c r="D14" s="176">
        <f t="shared" si="0"/>
        <v>10</v>
      </c>
      <c r="E14" s="169">
        <f t="shared" si="1"/>
        <v>20</v>
      </c>
      <c r="F14" s="175">
        <v>63</v>
      </c>
      <c r="G14" s="180">
        <f>+G$16*H14</f>
        <v>21</v>
      </c>
      <c r="H14" s="181">
        <v>6</v>
      </c>
      <c r="I14" s="171">
        <f>+G14*K$6</f>
        <v>2100</v>
      </c>
      <c r="J14" s="182">
        <v>4.5</v>
      </c>
      <c r="K14" s="173" t="s">
        <v>206</v>
      </c>
      <c r="L14" s="177">
        <v>2</v>
      </c>
    </row>
    <row r="15" spans="1:12" x14ac:dyDescent="0.25">
      <c r="A15" s="175" t="s">
        <v>207</v>
      </c>
      <c r="B15" s="166">
        <v>1</v>
      </c>
      <c r="C15" s="166">
        <v>1</v>
      </c>
      <c r="D15" s="176">
        <f t="shared" si="0"/>
        <v>10</v>
      </c>
      <c r="E15" s="169">
        <f t="shared" si="1"/>
        <v>10</v>
      </c>
      <c r="F15" s="170"/>
      <c r="G15" s="171"/>
      <c r="H15" s="171"/>
      <c r="I15" s="171"/>
      <c r="J15" s="172"/>
      <c r="K15" s="173" t="s">
        <v>208</v>
      </c>
      <c r="L15" s="179">
        <f>+L14*K6</f>
        <v>200</v>
      </c>
    </row>
    <row r="16" spans="1:12" x14ac:dyDescent="0.25">
      <c r="A16" s="175" t="s">
        <v>209</v>
      </c>
      <c r="B16" s="166">
        <v>3</v>
      </c>
      <c r="C16" s="166">
        <v>1</v>
      </c>
      <c r="D16" s="176">
        <f t="shared" si="0"/>
        <v>10</v>
      </c>
      <c r="E16" s="169">
        <f t="shared" si="1"/>
        <v>30</v>
      </c>
      <c r="F16" s="185" t="s">
        <v>210</v>
      </c>
      <c r="G16" s="186">
        <v>3.5</v>
      </c>
      <c r="H16" s="171" t="s">
        <v>211</v>
      </c>
      <c r="I16" s="171"/>
      <c r="J16" s="172"/>
      <c r="K16" s="173" t="s">
        <v>212</v>
      </c>
      <c r="L16" s="179">
        <f>+(L11*K6)+L13+L15</f>
        <v>894.02149999999995</v>
      </c>
    </row>
    <row r="17" spans="1:12" ht="13.8" x14ac:dyDescent="0.3">
      <c r="A17" s="175" t="s">
        <v>213</v>
      </c>
      <c r="B17" s="166">
        <v>1.5</v>
      </c>
      <c r="C17" s="166">
        <v>1</v>
      </c>
      <c r="D17" s="176">
        <f t="shared" si="0"/>
        <v>10</v>
      </c>
      <c r="E17" s="169">
        <f t="shared" si="1"/>
        <v>15</v>
      </c>
      <c r="F17" s="170"/>
      <c r="G17" s="171"/>
      <c r="H17" s="149"/>
      <c r="I17" s="187" t="s">
        <v>214</v>
      </c>
      <c r="J17" s="171">
        <f>VLOOKUP(G18,F10:I14,2,FALSE)</f>
        <v>16.974999999999998</v>
      </c>
      <c r="K17" s="173" t="s">
        <v>215</v>
      </c>
      <c r="L17" s="188">
        <f>VLOOKUP(G18,F10:I14,3)</f>
        <v>4.8499999999999996</v>
      </c>
    </row>
    <row r="18" spans="1:12" x14ac:dyDescent="0.25">
      <c r="A18" s="175" t="s">
        <v>216</v>
      </c>
      <c r="B18" s="166">
        <v>1</v>
      </c>
      <c r="C18" s="166">
        <v>1</v>
      </c>
      <c r="D18" s="176">
        <f t="shared" si="0"/>
        <v>10</v>
      </c>
      <c r="E18" s="169">
        <f t="shared" si="1"/>
        <v>10</v>
      </c>
      <c r="F18" s="185" t="s">
        <v>217</v>
      </c>
      <c r="G18" s="186">
        <v>56</v>
      </c>
      <c r="H18" s="149"/>
      <c r="I18" s="171"/>
      <c r="J18" s="172"/>
      <c r="K18" s="173" t="s">
        <v>218</v>
      </c>
      <c r="L18" s="179">
        <f>+L16/(L17*K6)</f>
        <v>1.8433432989690723</v>
      </c>
    </row>
    <row r="19" spans="1:12" x14ac:dyDescent="0.25">
      <c r="A19" s="175" t="s">
        <v>219</v>
      </c>
      <c r="B19" s="166">
        <v>1</v>
      </c>
      <c r="C19" s="166">
        <v>1</v>
      </c>
      <c r="D19" s="176">
        <f t="shared" si="0"/>
        <v>10</v>
      </c>
      <c r="E19" s="169">
        <f t="shared" si="1"/>
        <v>10</v>
      </c>
      <c r="F19" s="185" t="s">
        <v>88</v>
      </c>
      <c r="G19" s="186">
        <v>18</v>
      </c>
      <c r="H19" s="171"/>
      <c r="I19" s="171"/>
      <c r="J19" s="172"/>
      <c r="K19" s="173" t="s">
        <v>220</v>
      </c>
      <c r="L19" s="179">
        <f>VLOOKUP(G18,F10:J14,5,TRUE)</f>
        <v>4.5</v>
      </c>
    </row>
    <row r="20" spans="1:12" x14ac:dyDescent="0.25">
      <c r="A20" s="175" t="s">
        <v>221</v>
      </c>
      <c r="B20" s="166">
        <v>50</v>
      </c>
      <c r="C20" s="166">
        <v>1</v>
      </c>
      <c r="D20" s="176">
        <v>0.5</v>
      </c>
      <c r="E20" s="169">
        <f t="shared" si="1"/>
        <v>25</v>
      </c>
      <c r="F20" s="185" t="s">
        <v>222</v>
      </c>
      <c r="G20" s="171">
        <f>+G18-G19</f>
        <v>38</v>
      </c>
      <c r="H20" s="171"/>
      <c r="I20" s="171"/>
      <c r="J20" s="172"/>
      <c r="K20" s="173" t="s">
        <v>223</v>
      </c>
      <c r="L20" s="179">
        <f>+L19*L17*(K6-L12)</f>
        <v>2182.2817499999996</v>
      </c>
    </row>
    <row r="21" spans="1:12" x14ac:dyDescent="0.25">
      <c r="A21" s="175" t="s">
        <v>224</v>
      </c>
      <c r="B21" s="166">
        <v>50</v>
      </c>
      <c r="C21" s="166">
        <v>1</v>
      </c>
      <c r="D21" s="176">
        <v>0.5</v>
      </c>
      <c r="E21" s="169">
        <f t="shared" si="1"/>
        <v>25</v>
      </c>
      <c r="F21" s="189"/>
      <c r="G21" s="178"/>
      <c r="H21" s="171"/>
      <c r="I21" s="171"/>
      <c r="J21" s="172"/>
      <c r="K21" s="173" t="s">
        <v>225</v>
      </c>
      <c r="L21" s="190">
        <v>0</v>
      </c>
    </row>
    <row r="22" spans="1:12" x14ac:dyDescent="0.25">
      <c r="A22" s="175" t="s">
        <v>226</v>
      </c>
      <c r="B22" s="166">
        <v>100</v>
      </c>
      <c r="C22" s="166">
        <v>1</v>
      </c>
      <c r="D22" s="176">
        <v>0.14000000000000001</v>
      </c>
      <c r="E22" s="169">
        <f t="shared" si="1"/>
        <v>14.000000000000002</v>
      </c>
      <c r="F22" s="189"/>
      <c r="G22" s="178"/>
      <c r="H22" s="171"/>
      <c r="I22" s="171"/>
      <c r="J22" s="172"/>
      <c r="K22" s="173" t="s">
        <v>227</v>
      </c>
      <c r="L22" s="179">
        <f>+L20*L21</f>
        <v>0</v>
      </c>
    </row>
    <row r="23" spans="1:12" x14ac:dyDescent="0.25">
      <c r="A23" s="175"/>
      <c r="B23" s="166"/>
      <c r="C23" s="191"/>
      <c r="D23" s="192"/>
      <c r="E23" s="169">
        <f t="shared" si="1"/>
        <v>0</v>
      </c>
      <c r="F23" s="189"/>
      <c r="G23" s="178"/>
      <c r="H23" s="171"/>
      <c r="I23" s="171"/>
      <c r="J23" s="172"/>
      <c r="K23" s="173" t="s">
        <v>228</v>
      </c>
      <c r="L23" s="179">
        <f>+L20-L16-L22</f>
        <v>1288.2602499999998</v>
      </c>
    </row>
    <row r="24" spans="1:12" ht="13.8" thickBot="1" x14ac:dyDescent="0.3">
      <c r="A24" s="193" t="s">
        <v>229</v>
      </c>
      <c r="B24" s="194">
        <v>10</v>
      </c>
      <c r="C24" s="195" t="s">
        <v>230</v>
      </c>
      <c r="D24" s="196"/>
      <c r="E24" s="197">
        <f>SUM(E7:E23)</f>
        <v>499</v>
      </c>
      <c r="F24" s="198"/>
      <c r="G24" s="199"/>
      <c r="H24" s="196"/>
      <c r="I24" s="196"/>
      <c r="J24" s="200"/>
      <c r="K24" s="173" t="s">
        <v>231</v>
      </c>
      <c r="L24" s="179">
        <f>+E24</f>
        <v>499</v>
      </c>
    </row>
    <row r="25" spans="1:12" x14ac:dyDescent="0.25">
      <c r="A25" s="156" t="s">
        <v>232</v>
      </c>
      <c r="B25" s="201">
        <f>+G18/7</f>
        <v>8</v>
      </c>
      <c r="C25" s="154" t="s">
        <v>233</v>
      </c>
      <c r="D25" s="154"/>
      <c r="E25" s="155"/>
      <c r="F25" s="156" t="s">
        <v>234</v>
      </c>
      <c r="G25" s="160"/>
      <c r="H25" s="161"/>
      <c r="I25" s="161"/>
      <c r="J25" s="162"/>
      <c r="K25" s="202" t="s">
        <v>235</v>
      </c>
      <c r="L25" s="177">
        <v>25</v>
      </c>
    </row>
    <row r="26" spans="1:12" x14ac:dyDescent="0.25">
      <c r="A26" s="185" t="s">
        <v>236</v>
      </c>
      <c r="B26" s="171"/>
      <c r="C26" s="171" t="s">
        <v>237</v>
      </c>
      <c r="D26" s="171" t="s">
        <v>238</v>
      </c>
      <c r="E26" s="172" t="s">
        <v>239</v>
      </c>
      <c r="F26" s="170" t="s">
        <v>240</v>
      </c>
      <c r="G26" s="178" t="s">
        <v>241</v>
      </c>
      <c r="H26" s="171"/>
      <c r="I26" s="203" t="s">
        <v>242</v>
      </c>
      <c r="J26" s="169">
        <f>+L24*L35</f>
        <v>1996</v>
      </c>
      <c r="K26" s="202" t="s">
        <v>243</v>
      </c>
      <c r="L26" s="177">
        <v>10</v>
      </c>
    </row>
    <row r="27" spans="1:12" x14ac:dyDescent="0.25">
      <c r="A27" s="170">
        <v>1</v>
      </c>
      <c r="B27" s="171" t="s">
        <v>244</v>
      </c>
      <c r="C27" s="186">
        <v>1</v>
      </c>
      <c r="D27" s="180">
        <f>+A27/B$25</f>
        <v>0.125</v>
      </c>
      <c r="E27" s="204">
        <f>+D27*C27</f>
        <v>0.125</v>
      </c>
      <c r="F27" s="189" t="s">
        <v>245</v>
      </c>
      <c r="G27" s="205"/>
      <c r="H27" s="171"/>
      <c r="I27" s="203" t="s">
        <v>246</v>
      </c>
      <c r="J27" s="206"/>
      <c r="K27" s="202" t="s">
        <v>247</v>
      </c>
      <c r="L27" s="177">
        <v>0</v>
      </c>
    </row>
    <row r="28" spans="1:12" x14ac:dyDescent="0.25">
      <c r="A28" s="170">
        <v>2</v>
      </c>
      <c r="B28" s="171" t="s">
        <v>248</v>
      </c>
      <c r="C28" s="186">
        <v>0</v>
      </c>
      <c r="D28" s="180">
        <f t="shared" ref="D28:D35" si="2">+A28/B$25</f>
        <v>0.25</v>
      </c>
      <c r="E28" s="204">
        <f t="shared" ref="E28:E35" si="3">+D28*C28</f>
        <v>0</v>
      </c>
      <c r="F28" s="189" t="s">
        <v>249</v>
      </c>
      <c r="G28" s="205"/>
      <c r="H28" s="171"/>
      <c r="I28" s="203" t="s">
        <v>250</v>
      </c>
      <c r="J28" s="207">
        <f>+J26-J27</f>
        <v>1996</v>
      </c>
      <c r="K28" s="202" t="s">
        <v>247</v>
      </c>
      <c r="L28" s="177">
        <v>0</v>
      </c>
    </row>
    <row r="29" spans="1:12" x14ac:dyDescent="0.25">
      <c r="A29" s="170">
        <v>3</v>
      </c>
      <c r="B29" s="171" t="s">
        <v>248</v>
      </c>
      <c r="C29" s="186">
        <v>0</v>
      </c>
      <c r="D29" s="180">
        <f t="shared" si="2"/>
        <v>0.375</v>
      </c>
      <c r="E29" s="204">
        <f t="shared" si="3"/>
        <v>0</v>
      </c>
      <c r="F29" s="189" t="s">
        <v>251</v>
      </c>
      <c r="G29" s="205"/>
      <c r="H29" s="171"/>
      <c r="I29" s="171"/>
      <c r="J29" s="172"/>
      <c r="K29" s="173" t="s">
        <v>252</v>
      </c>
      <c r="L29" s="183">
        <f>SUM(L24:L28)</f>
        <v>534</v>
      </c>
    </row>
    <row r="30" spans="1:12" x14ac:dyDescent="0.25">
      <c r="A30" s="170">
        <v>4</v>
      </c>
      <c r="B30" s="171" t="s">
        <v>248</v>
      </c>
      <c r="C30" s="186">
        <v>0</v>
      </c>
      <c r="D30" s="180">
        <f t="shared" si="2"/>
        <v>0.5</v>
      </c>
      <c r="E30" s="204">
        <f t="shared" si="3"/>
        <v>0</v>
      </c>
      <c r="F30" s="170" t="s">
        <v>253</v>
      </c>
      <c r="G30" s="205"/>
      <c r="H30" s="171"/>
      <c r="I30" s="171"/>
      <c r="J30" s="172"/>
      <c r="K30" s="173" t="s">
        <v>254</v>
      </c>
      <c r="L30" s="208">
        <f>+(K6*L17*L35)-(K6*L17*L35*L12)</f>
        <v>1920.5999999999997</v>
      </c>
    </row>
    <row r="31" spans="1:12" x14ac:dyDescent="0.25">
      <c r="A31" s="170">
        <v>5</v>
      </c>
      <c r="B31" s="171" t="s">
        <v>248</v>
      </c>
      <c r="C31" s="186">
        <v>0</v>
      </c>
      <c r="D31" s="180">
        <f t="shared" si="2"/>
        <v>0.625</v>
      </c>
      <c r="E31" s="204">
        <f t="shared" si="3"/>
        <v>0</v>
      </c>
      <c r="F31" s="189" t="s">
        <v>255</v>
      </c>
      <c r="G31" s="205"/>
      <c r="H31" s="171"/>
      <c r="I31" s="171"/>
      <c r="J31" s="172"/>
      <c r="K31" s="173" t="s">
        <v>256</v>
      </c>
      <c r="L31" s="208">
        <f>+L35*K6</f>
        <v>400</v>
      </c>
    </row>
    <row r="32" spans="1:12" x14ac:dyDescent="0.25">
      <c r="A32" s="170">
        <v>6</v>
      </c>
      <c r="B32" s="171" t="s">
        <v>248</v>
      </c>
      <c r="C32" s="186">
        <v>0</v>
      </c>
      <c r="D32" s="180">
        <f t="shared" si="2"/>
        <v>0.75</v>
      </c>
      <c r="E32" s="204">
        <f t="shared" si="3"/>
        <v>0</v>
      </c>
      <c r="F32" s="189" t="s">
        <v>257</v>
      </c>
      <c r="G32" s="205"/>
      <c r="H32" s="171"/>
      <c r="I32" s="171"/>
      <c r="J32" s="172"/>
      <c r="K32" s="173" t="s">
        <v>258</v>
      </c>
      <c r="L32" s="208">
        <f>+K6*L35*L7</f>
        <v>6789.9999999999991</v>
      </c>
    </row>
    <row r="33" spans="1:12" x14ac:dyDescent="0.25">
      <c r="A33" s="170">
        <v>7</v>
      </c>
      <c r="B33" s="171" t="s">
        <v>248</v>
      </c>
      <c r="C33" s="186">
        <v>1</v>
      </c>
      <c r="D33" s="180">
        <f t="shared" si="2"/>
        <v>0.875</v>
      </c>
      <c r="E33" s="204">
        <f t="shared" si="3"/>
        <v>0.875</v>
      </c>
      <c r="F33" s="189" t="s">
        <v>259</v>
      </c>
      <c r="G33" s="205"/>
      <c r="H33" s="171"/>
      <c r="I33" s="171"/>
      <c r="J33" s="172"/>
      <c r="K33" s="173" t="s">
        <v>260</v>
      </c>
      <c r="L33" s="179">
        <f>+L32*L8</f>
        <v>2308.6</v>
      </c>
    </row>
    <row r="34" spans="1:12" x14ac:dyDescent="0.25">
      <c r="A34" s="170">
        <v>8</v>
      </c>
      <c r="B34" s="171" t="s">
        <v>248</v>
      </c>
      <c r="C34" s="186">
        <v>0</v>
      </c>
      <c r="D34" s="180">
        <f t="shared" si="2"/>
        <v>1</v>
      </c>
      <c r="E34" s="204">
        <f t="shared" si="3"/>
        <v>0</v>
      </c>
      <c r="F34" s="189" t="s">
        <v>161</v>
      </c>
      <c r="G34" s="205"/>
      <c r="H34" s="171"/>
      <c r="I34" s="171"/>
      <c r="J34" s="172"/>
      <c r="K34" s="209" t="s">
        <v>261</v>
      </c>
      <c r="L34" s="210">
        <f>+L23-L29</f>
        <v>754.26024999999981</v>
      </c>
    </row>
    <row r="35" spans="1:12" x14ac:dyDescent="0.25">
      <c r="A35" s="170">
        <v>9</v>
      </c>
      <c r="B35" s="171" t="s">
        <v>248</v>
      </c>
      <c r="C35" s="186">
        <v>0</v>
      </c>
      <c r="D35" s="211">
        <f t="shared" si="2"/>
        <v>1.125</v>
      </c>
      <c r="E35" s="204">
        <f t="shared" si="3"/>
        <v>0</v>
      </c>
      <c r="F35" s="189" t="s">
        <v>262</v>
      </c>
      <c r="G35" s="205"/>
      <c r="H35" s="212" t="s">
        <v>263</v>
      </c>
      <c r="I35" s="171"/>
      <c r="J35" s="172"/>
      <c r="K35" s="209" t="s">
        <v>264</v>
      </c>
      <c r="L35" s="213">
        <v>4</v>
      </c>
    </row>
    <row r="36" spans="1:12" ht="13.8" thickBot="1" x14ac:dyDescent="0.3">
      <c r="A36" s="170"/>
      <c r="B36" s="171"/>
      <c r="C36" s="171"/>
      <c r="D36" s="171"/>
      <c r="E36" s="172"/>
      <c r="F36" s="189" t="s">
        <v>265</v>
      </c>
      <c r="G36" s="205"/>
      <c r="H36" s="212" t="s">
        <v>266</v>
      </c>
      <c r="I36" s="171"/>
      <c r="J36" s="214"/>
      <c r="K36" s="173" t="s">
        <v>267</v>
      </c>
      <c r="L36" s="215">
        <f>+L34*L35</f>
        <v>3017.0409999999993</v>
      </c>
    </row>
    <row r="37" spans="1:12" ht="14.4" thickBot="1" x14ac:dyDescent="0.3">
      <c r="A37" s="216"/>
      <c r="B37" s="217" t="s">
        <v>268</v>
      </c>
      <c r="C37" s="196">
        <f>SUM(C27:C35)</f>
        <v>2</v>
      </c>
      <c r="D37" s="217" t="s">
        <v>269</v>
      </c>
      <c r="E37" s="218">
        <f>SUM(E27:E35)</f>
        <v>1</v>
      </c>
      <c r="F37" s="216"/>
      <c r="G37" s="219">
        <f>SUM(G27:G36)</f>
        <v>0</v>
      </c>
      <c r="H37" s="220">
        <f>+L36</f>
        <v>3017.0409999999993</v>
      </c>
      <c r="I37" s="196"/>
      <c r="J37" s="200"/>
      <c r="K37" s="221" t="s">
        <v>270</v>
      </c>
      <c r="L37" s="222">
        <f>+H37-G37</f>
        <v>3017.0409999999993</v>
      </c>
    </row>
    <row r="38" spans="1:12" x14ac:dyDescent="0.25">
      <c r="A38" s="149"/>
      <c r="B38" s="149"/>
      <c r="C38" s="149"/>
      <c r="D38" s="149"/>
      <c r="E38" s="149"/>
      <c r="F38" s="149"/>
      <c r="G38" s="149"/>
      <c r="H38" s="149"/>
      <c r="I38" s="149"/>
      <c r="J38" s="149"/>
      <c r="K38" s="149"/>
      <c r="L38" s="149"/>
    </row>
    <row r="39" spans="1:12" ht="13.8" thickBot="1" x14ac:dyDescent="0.3">
      <c r="A39" s="149"/>
      <c r="B39" s="149"/>
      <c r="C39" s="149"/>
      <c r="D39" s="149"/>
      <c r="E39" s="149"/>
      <c r="F39" s="149"/>
      <c r="G39" s="149"/>
      <c r="H39" s="149"/>
      <c r="I39" s="149"/>
      <c r="J39" s="149"/>
      <c r="K39" s="149"/>
      <c r="L39" s="149"/>
    </row>
    <row r="40" spans="1:12" ht="14.4" thickBot="1" x14ac:dyDescent="0.35">
      <c r="A40" s="151" t="s">
        <v>112</v>
      </c>
      <c r="B40" s="152" t="s">
        <v>181</v>
      </c>
      <c r="C40" s="153"/>
      <c r="D40" s="153"/>
      <c r="E40" s="153"/>
      <c r="F40" s="153"/>
      <c r="G40" s="153"/>
      <c r="H40" s="153"/>
      <c r="I40" s="153"/>
      <c r="J40" s="153"/>
      <c r="K40" s="154"/>
      <c r="L40" s="155"/>
    </row>
    <row r="41" spans="1:12" ht="13.8" thickBot="1" x14ac:dyDescent="0.3">
      <c r="A41" s="156" t="s">
        <v>182</v>
      </c>
      <c r="B41" s="157" t="s">
        <v>183</v>
      </c>
      <c r="C41" s="158" t="s">
        <v>184</v>
      </c>
      <c r="D41" s="158" t="s">
        <v>185</v>
      </c>
      <c r="E41" s="159" t="s">
        <v>32</v>
      </c>
      <c r="F41" s="156" t="s">
        <v>186</v>
      </c>
      <c r="G41" s="160"/>
      <c r="H41" s="161"/>
      <c r="I41" s="161"/>
      <c r="J41" s="162"/>
      <c r="K41" s="163">
        <v>100</v>
      </c>
      <c r="L41" s="164" t="s">
        <v>116</v>
      </c>
    </row>
    <row r="42" spans="1:12" x14ac:dyDescent="0.25">
      <c r="A42" s="165" t="s">
        <v>187</v>
      </c>
      <c r="B42" s="166">
        <v>0.5</v>
      </c>
      <c r="C42" s="167">
        <v>1</v>
      </c>
      <c r="D42" s="168">
        <f t="shared" ref="D42:D54" si="4">+B$24</f>
        <v>10</v>
      </c>
      <c r="E42" s="169">
        <f t="shared" ref="E42:E58" si="5">+D42*C42*B42</f>
        <v>5</v>
      </c>
      <c r="F42" s="170"/>
      <c r="G42" s="171"/>
      <c r="H42" s="171"/>
      <c r="I42" s="171"/>
      <c r="J42" s="172"/>
      <c r="K42" s="173" t="s">
        <v>188</v>
      </c>
      <c r="L42" s="174">
        <f>+J52</f>
        <v>17.5</v>
      </c>
    </row>
    <row r="43" spans="1:12" x14ac:dyDescent="0.25">
      <c r="A43" s="175" t="s">
        <v>189</v>
      </c>
      <c r="B43" s="166">
        <v>0.5</v>
      </c>
      <c r="C43" s="166">
        <f>+G54</f>
        <v>18</v>
      </c>
      <c r="D43" s="176">
        <f t="shared" si="4"/>
        <v>10</v>
      </c>
      <c r="E43" s="169">
        <f t="shared" si="5"/>
        <v>90</v>
      </c>
      <c r="F43" s="170" t="s">
        <v>190</v>
      </c>
      <c r="G43" s="171"/>
      <c r="H43" s="171"/>
      <c r="I43" s="171" t="s">
        <v>32</v>
      </c>
      <c r="J43" s="172" t="s">
        <v>191</v>
      </c>
      <c r="K43" s="173" t="s">
        <v>192</v>
      </c>
      <c r="L43" s="177">
        <v>0.3</v>
      </c>
    </row>
    <row r="44" spans="1:12" x14ac:dyDescent="0.25">
      <c r="A44" s="175" t="s">
        <v>193</v>
      </c>
      <c r="B44" s="166">
        <v>1</v>
      </c>
      <c r="C44" s="166">
        <v>1</v>
      </c>
      <c r="D44" s="176">
        <f t="shared" si="4"/>
        <v>10</v>
      </c>
      <c r="E44" s="169">
        <f t="shared" si="5"/>
        <v>10</v>
      </c>
      <c r="F44" s="170" t="s">
        <v>194</v>
      </c>
      <c r="G44" s="171" t="s">
        <v>195</v>
      </c>
      <c r="H44" s="171" t="s">
        <v>196</v>
      </c>
      <c r="I44" s="178" t="s">
        <v>197</v>
      </c>
      <c r="J44" s="172"/>
      <c r="K44" s="173" t="s">
        <v>122</v>
      </c>
      <c r="L44" s="179">
        <f>+L43*L42</f>
        <v>5.25</v>
      </c>
    </row>
    <row r="45" spans="1:12" x14ac:dyDescent="0.25">
      <c r="A45" s="175" t="s">
        <v>198</v>
      </c>
      <c r="B45" s="166">
        <v>0.5</v>
      </c>
      <c r="C45" s="166">
        <f>+G55</f>
        <v>38</v>
      </c>
      <c r="D45" s="176">
        <f t="shared" si="4"/>
        <v>10</v>
      </c>
      <c r="E45" s="169">
        <f t="shared" si="5"/>
        <v>190</v>
      </c>
      <c r="F45" s="175">
        <v>35</v>
      </c>
      <c r="G45" s="180">
        <f>+G$16*H45</f>
        <v>6.125</v>
      </c>
      <c r="H45" s="181">
        <v>1.75</v>
      </c>
      <c r="I45" s="171">
        <f>+G45*K$6</f>
        <v>612.5</v>
      </c>
      <c r="J45" s="182">
        <v>8.99</v>
      </c>
      <c r="K45" s="173" t="s">
        <v>199</v>
      </c>
      <c r="L45" s="177">
        <v>1.1000000000000001</v>
      </c>
    </row>
    <row r="46" spans="1:12" x14ac:dyDescent="0.25">
      <c r="A46" s="175" t="s">
        <v>200</v>
      </c>
      <c r="B46" s="166">
        <v>2</v>
      </c>
      <c r="C46" s="166">
        <v>1</v>
      </c>
      <c r="D46" s="176">
        <f t="shared" si="4"/>
        <v>10</v>
      </c>
      <c r="E46" s="169">
        <f t="shared" si="5"/>
        <v>20</v>
      </c>
      <c r="F46" s="175">
        <v>42</v>
      </c>
      <c r="G46" s="180">
        <f>+G$16*H46</f>
        <v>8.75</v>
      </c>
      <c r="H46" s="181">
        <v>2.5</v>
      </c>
      <c r="I46" s="171">
        <f>+G46*K$6</f>
        <v>875</v>
      </c>
      <c r="J46" s="182">
        <v>6.99</v>
      </c>
      <c r="K46" s="173" t="s">
        <v>201</v>
      </c>
      <c r="L46" s="183">
        <f>SUM(L44:L45)</f>
        <v>6.35</v>
      </c>
    </row>
    <row r="47" spans="1:12" x14ac:dyDescent="0.25">
      <c r="A47" s="175" t="s">
        <v>202</v>
      </c>
      <c r="B47" s="166">
        <v>2</v>
      </c>
      <c r="C47" s="166">
        <v>1</v>
      </c>
      <c r="D47" s="176">
        <f t="shared" si="4"/>
        <v>10</v>
      </c>
      <c r="E47" s="169">
        <f t="shared" si="5"/>
        <v>20</v>
      </c>
      <c r="F47" s="175">
        <v>49</v>
      </c>
      <c r="G47" s="180">
        <f>+G$16*H47</f>
        <v>12.25</v>
      </c>
      <c r="H47" s="181">
        <v>3.5</v>
      </c>
      <c r="I47" s="171">
        <f>+G47*K$6</f>
        <v>1225</v>
      </c>
      <c r="J47" s="182">
        <v>4.99</v>
      </c>
      <c r="K47" s="173" t="s">
        <v>203</v>
      </c>
      <c r="L47" s="184">
        <f>+E72/100</f>
        <v>0.01</v>
      </c>
    </row>
    <row r="48" spans="1:12" x14ac:dyDescent="0.25">
      <c r="A48" s="175" t="s">
        <v>204</v>
      </c>
      <c r="B48" s="166">
        <v>0.5</v>
      </c>
      <c r="C48" s="166">
        <v>1</v>
      </c>
      <c r="D48" s="176">
        <f t="shared" si="4"/>
        <v>10</v>
      </c>
      <c r="E48" s="169">
        <f t="shared" si="5"/>
        <v>5</v>
      </c>
      <c r="F48" s="175">
        <v>56</v>
      </c>
      <c r="G48" s="180">
        <f>+G$16*H48</f>
        <v>17.5</v>
      </c>
      <c r="H48" s="181">
        <v>5</v>
      </c>
      <c r="I48" s="171">
        <f>+G48*K$6</f>
        <v>1750</v>
      </c>
      <c r="J48" s="182">
        <v>4.5</v>
      </c>
      <c r="K48" s="173" t="s">
        <v>129</v>
      </c>
      <c r="L48" s="183">
        <f>+L46*K41*L47</f>
        <v>6.3500000000000005</v>
      </c>
    </row>
    <row r="49" spans="1:12" x14ac:dyDescent="0.25">
      <c r="A49" s="175" t="s">
        <v>205</v>
      </c>
      <c r="B49" s="166">
        <v>2</v>
      </c>
      <c r="C49" s="166">
        <v>1</v>
      </c>
      <c r="D49" s="176">
        <f t="shared" si="4"/>
        <v>10</v>
      </c>
      <c r="E49" s="169">
        <f t="shared" si="5"/>
        <v>20</v>
      </c>
      <c r="F49" s="175">
        <v>63</v>
      </c>
      <c r="G49" s="180">
        <f>+G$16*H49</f>
        <v>21</v>
      </c>
      <c r="H49" s="181">
        <v>6</v>
      </c>
      <c r="I49" s="171">
        <f>+G49*K$6</f>
        <v>2100</v>
      </c>
      <c r="J49" s="182">
        <v>4.5</v>
      </c>
      <c r="K49" s="173" t="s">
        <v>206</v>
      </c>
      <c r="L49" s="177">
        <v>2</v>
      </c>
    </row>
    <row r="50" spans="1:12" x14ac:dyDescent="0.25">
      <c r="A50" s="175" t="s">
        <v>207</v>
      </c>
      <c r="B50" s="166">
        <v>1</v>
      </c>
      <c r="C50" s="166">
        <v>1</v>
      </c>
      <c r="D50" s="176">
        <f t="shared" si="4"/>
        <v>10</v>
      </c>
      <c r="E50" s="169">
        <f t="shared" si="5"/>
        <v>10</v>
      </c>
      <c r="F50" s="170"/>
      <c r="G50" s="171"/>
      <c r="H50" s="171"/>
      <c r="I50" s="171"/>
      <c r="J50" s="172"/>
      <c r="K50" s="173" t="s">
        <v>208</v>
      </c>
      <c r="L50" s="179">
        <f>+L49*K41</f>
        <v>200</v>
      </c>
    </row>
    <row r="51" spans="1:12" x14ac:dyDescent="0.25">
      <c r="A51" s="175" t="s">
        <v>209</v>
      </c>
      <c r="B51" s="166">
        <v>3</v>
      </c>
      <c r="C51" s="166">
        <v>1</v>
      </c>
      <c r="D51" s="176">
        <f t="shared" si="4"/>
        <v>10</v>
      </c>
      <c r="E51" s="169">
        <f t="shared" si="5"/>
        <v>30</v>
      </c>
      <c r="F51" s="185" t="s">
        <v>210</v>
      </c>
      <c r="G51" s="186">
        <v>4.05</v>
      </c>
      <c r="H51" s="171" t="s">
        <v>211</v>
      </c>
      <c r="I51" s="171"/>
      <c r="J51" s="172"/>
      <c r="K51" s="173" t="s">
        <v>212</v>
      </c>
      <c r="L51" s="179">
        <f>+(L46*K41)+L48+L50</f>
        <v>841.35</v>
      </c>
    </row>
    <row r="52" spans="1:12" ht="13.8" x14ac:dyDescent="0.3">
      <c r="A52" s="175" t="s">
        <v>213</v>
      </c>
      <c r="B52" s="166">
        <v>1.5</v>
      </c>
      <c r="C52" s="166">
        <v>1</v>
      </c>
      <c r="D52" s="176">
        <f t="shared" si="4"/>
        <v>10</v>
      </c>
      <c r="E52" s="169">
        <f t="shared" si="5"/>
        <v>15</v>
      </c>
      <c r="F52" s="170"/>
      <c r="G52" s="171"/>
      <c r="H52" s="149"/>
      <c r="I52" s="187" t="s">
        <v>214</v>
      </c>
      <c r="J52" s="171">
        <f>VLOOKUP(G53,F45:I49,2,FALSE)</f>
        <v>17.5</v>
      </c>
      <c r="K52" s="173" t="s">
        <v>215</v>
      </c>
      <c r="L52" s="188">
        <f>VLOOKUP(G53,F45:I49,3)</f>
        <v>5</v>
      </c>
    </row>
    <row r="53" spans="1:12" x14ac:dyDescent="0.25">
      <c r="A53" s="175" t="s">
        <v>216</v>
      </c>
      <c r="B53" s="166">
        <v>1</v>
      </c>
      <c r="C53" s="166">
        <v>1</v>
      </c>
      <c r="D53" s="176">
        <f t="shared" si="4"/>
        <v>10</v>
      </c>
      <c r="E53" s="169">
        <f t="shared" si="5"/>
        <v>10</v>
      </c>
      <c r="F53" s="185" t="s">
        <v>217</v>
      </c>
      <c r="G53" s="186">
        <v>56</v>
      </c>
      <c r="H53" s="149"/>
      <c r="I53" s="171"/>
      <c r="J53" s="172"/>
      <c r="K53" s="173" t="s">
        <v>218</v>
      </c>
      <c r="L53" s="179">
        <f>+L51/(L52*K41)</f>
        <v>1.6827000000000001</v>
      </c>
    </row>
    <row r="54" spans="1:12" x14ac:dyDescent="0.25">
      <c r="A54" s="175" t="s">
        <v>219</v>
      </c>
      <c r="B54" s="166">
        <v>1</v>
      </c>
      <c r="C54" s="166">
        <v>1</v>
      </c>
      <c r="D54" s="176">
        <f t="shared" si="4"/>
        <v>10</v>
      </c>
      <c r="E54" s="169">
        <f t="shared" si="5"/>
        <v>10</v>
      </c>
      <c r="F54" s="185" t="s">
        <v>88</v>
      </c>
      <c r="G54" s="186">
        <v>18</v>
      </c>
      <c r="H54" s="171"/>
      <c r="I54" s="171"/>
      <c r="J54" s="172"/>
      <c r="K54" s="173" t="s">
        <v>220</v>
      </c>
      <c r="L54" s="179">
        <f>VLOOKUP(G53,F45:J49,5,TRUE)</f>
        <v>4.5</v>
      </c>
    </row>
    <row r="55" spans="1:12" x14ac:dyDescent="0.25">
      <c r="A55" s="175" t="s">
        <v>221</v>
      </c>
      <c r="B55" s="166">
        <v>50</v>
      </c>
      <c r="C55" s="166">
        <v>1</v>
      </c>
      <c r="D55" s="176">
        <v>0.5</v>
      </c>
      <c r="E55" s="169">
        <f t="shared" si="5"/>
        <v>25</v>
      </c>
      <c r="F55" s="185" t="s">
        <v>222</v>
      </c>
      <c r="G55" s="171">
        <f>+G53-G54</f>
        <v>38</v>
      </c>
      <c r="H55" s="171"/>
      <c r="I55" s="171"/>
      <c r="J55" s="172"/>
      <c r="K55" s="173" t="s">
        <v>223</v>
      </c>
      <c r="L55" s="179">
        <f>+L54*L52*(K41-L47)</f>
        <v>2249.7750000000001</v>
      </c>
    </row>
    <row r="56" spans="1:12" x14ac:dyDescent="0.25">
      <c r="A56" s="175" t="s">
        <v>224</v>
      </c>
      <c r="B56" s="166">
        <v>50</v>
      </c>
      <c r="C56" s="166">
        <v>1</v>
      </c>
      <c r="D56" s="176">
        <v>0.5</v>
      </c>
      <c r="E56" s="169">
        <f t="shared" si="5"/>
        <v>25</v>
      </c>
      <c r="F56" s="189"/>
      <c r="G56" s="178"/>
      <c r="H56" s="171"/>
      <c r="I56" s="171"/>
      <c r="J56" s="172"/>
      <c r="K56" s="173" t="s">
        <v>225</v>
      </c>
      <c r="L56" s="190">
        <v>0</v>
      </c>
    </row>
    <row r="57" spans="1:12" x14ac:dyDescent="0.25">
      <c r="A57" s="175" t="s">
        <v>226</v>
      </c>
      <c r="B57" s="166">
        <v>100</v>
      </c>
      <c r="C57" s="166">
        <v>1</v>
      </c>
      <c r="D57" s="176">
        <v>0.14000000000000001</v>
      </c>
      <c r="E57" s="169">
        <f t="shared" si="5"/>
        <v>14.000000000000002</v>
      </c>
      <c r="F57" s="189"/>
      <c r="G57" s="178"/>
      <c r="H57" s="171"/>
      <c r="I57" s="171"/>
      <c r="J57" s="172"/>
      <c r="K57" s="173" t="s">
        <v>227</v>
      </c>
      <c r="L57" s="179">
        <f>+L55*L56</f>
        <v>0</v>
      </c>
    </row>
    <row r="58" spans="1:12" x14ac:dyDescent="0.25">
      <c r="A58" s="175"/>
      <c r="B58" s="166"/>
      <c r="C58" s="191"/>
      <c r="D58" s="192"/>
      <c r="E58" s="169">
        <f t="shared" si="5"/>
        <v>0</v>
      </c>
      <c r="F58" s="189"/>
      <c r="G58" s="178"/>
      <c r="H58" s="171"/>
      <c r="I58" s="171"/>
      <c r="J58" s="172"/>
      <c r="K58" s="173" t="s">
        <v>228</v>
      </c>
      <c r="L58" s="179">
        <f>+L55-L51-L57</f>
        <v>1408.4250000000002</v>
      </c>
    </row>
    <row r="59" spans="1:12" ht="13.8" thickBot="1" x14ac:dyDescent="0.3">
      <c r="A59" s="193" t="s">
        <v>229</v>
      </c>
      <c r="B59" s="194">
        <v>10</v>
      </c>
      <c r="C59" s="195" t="s">
        <v>230</v>
      </c>
      <c r="D59" s="196"/>
      <c r="E59" s="197">
        <f>SUM(E42:E58)</f>
        <v>499</v>
      </c>
      <c r="F59" s="198"/>
      <c r="G59" s="199"/>
      <c r="H59" s="196"/>
      <c r="I59" s="196"/>
      <c r="J59" s="200"/>
      <c r="K59" s="173" t="s">
        <v>231</v>
      </c>
      <c r="L59" s="179">
        <f>+E59</f>
        <v>499</v>
      </c>
    </row>
    <row r="60" spans="1:12" x14ac:dyDescent="0.25">
      <c r="A60" s="156" t="s">
        <v>232</v>
      </c>
      <c r="B60" s="201">
        <f>+G53/7</f>
        <v>8</v>
      </c>
      <c r="C60" s="154" t="s">
        <v>233</v>
      </c>
      <c r="D60" s="154"/>
      <c r="E60" s="155"/>
      <c r="F60" s="156" t="s">
        <v>234</v>
      </c>
      <c r="G60" s="160"/>
      <c r="H60" s="161"/>
      <c r="I60" s="161"/>
      <c r="J60" s="162"/>
      <c r="K60" s="202" t="s">
        <v>235</v>
      </c>
      <c r="L60" s="177">
        <v>25</v>
      </c>
    </row>
    <row r="61" spans="1:12" x14ac:dyDescent="0.25">
      <c r="A61" s="185" t="s">
        <v>236</v>
      </c>
      <c r="B61" s="171"/>
      <c r="C61" s="171" t="s">
        <v>237</v>
      </c>
      <c r="D61" s="171" t="s">
        <v>238</v>
      </c>
      <c r="E61" s="172" t="s">
        <v>239</v>
      </c>
      <c r="F61" s="170" t="s">
        <v>240</v>
      </c>
      <c r="G61" s="178" t="s">
        <v>241</v>
      </c>
      <c r="H61" s="171"/>
      <c r="I61" s="203" t="s">
        <v>242</v>
      </c>
      <c r="J61" s="169">
        <f>+L59*L70</f>
        <v>499</v>
      </c>
      <c r="K61" s="202" t="s">
        <v>243</v>
      </c>
      <c r="L61" s="177">
        <v>10</v>
      </c>
    </row>
    <row r="62" spans="1:12" x14ac:dyDescent="0.25">
      <c r="A62" s="170">
        <v>1</v>
      </c>
      <c r="B62" s="171" t="s">
        <v>244</v>
      </c>
      <c r="C62" s="186">
        <v>1</v>
      </c>
      <c r="D62" s="180">
        <f>+A62/B$25</f>
        <v>0.125</v>
      </c>
      <c r="E62" s="204">
        <f>+D62*C62</f>
        <v>0.125</v>
      </c>
      <c r="F62" s="189" t="s">
        <v>245</v>
      </c>
      <c r="G62" s="205"/>
      <c r="H62" s="171"/>
      <c r="I62" s="203" t="s">
        <v>246</v>
      </c>
      <c r="J62" s="206"/>
      <c r="K62" s="202" t="s">
        <v>247</v>
      </c>
      <c r="L62" s="177">
        <v>0</v>
      </c>
    </row>
    <row r="63" spans="1:12" x14ac:dyDescent="0.25">
      <c r="A63" s="170">
        <v>2</v>
      </c>
      <c r="B63" s="171" t="s">
        <v>248</v>
      </c>
      <c r="C63" s="186">
        <v>0</v>
      </c>
      <c r="D63" s="180">
        <f t="shared" ref="D63:D70" si="6">+A63/B$25</f>
        <v>0.25</v>
      </c>
      <c r="E63" s="204">
        <f t="shared" ref="E63:E70" si="7">+D63*C63</f>
        <v>0</v>
      </c>
      <c r="F63" s="189" t="s">
        <v>249</v>
      </c>
      <c r="G63" s="205"/>
      <c r="H63" s="171"/>
      <c r="I63" s="203" t="s">
        <v>250</v>
      </c>
      <c r="J63" s="207">
        <f>+J61-J62</f>
        <v>499</v>
      </c>
      <c r="K63" s="202" t="s">
        <v>247</v>
      </c>
      <c r="L63" s="177">
        <v>0</v>
      </c>
    </row>
    <row r="64" spans="1:12" x14ac:dyDescent="0.25">
      <c r="A64" s="170">
        <v>3</v>
      </c>
      <c r="B64" s="171" t="s">
        <v>248</v>
      </c>
      <c r="C64" s="186">
        <v>0</v>
      </c>
      <c r="D64" s="180">
        <f t="shared" si="6"/>
        <v>0.375</v>
      </c>
      <c r="E64" s="204">
        <f t="shared" si="7"/>
        <v>0</v>
      </c>
      <c r="F64" s="189" t="s">
        <v>251</v>
      </c>
      <c r="G64" s="205"/>
      <c r="H64" s="171"/>
      <c r="I64" s="171"/>
      <c r="J64" s="172"/>
      <c r="K64" s="173" t="s">
        <v>252</v>
      </c>
      <c r="L64" s="183">
        <f>SUM(L59:L63)</f>
        <v>534</v>
      </c>
    </row>
    <row r="65" spans="1:12" x14ac:dyDescent="0.25">
      <c r="A65" s="170">
        <v>4</v>
      </c>
      <c r="B65" s="171" t="s">
        <v>248</v>
      </c>
      <c r="C65" s="186">
        <v>0</v>
      </c>
      <c r="D65" s="180">
        <f t="shared" si="6"/>
        <v>0.5</v>
      </c>
      <c r="E65" s="204">
        <f t="shared" si="7"/>
        <v>0</v>
      </c>
      <c r="F65" s="170" t="s">
        <v>253</v>
      </c>
      <c r="G65" s="205"/>
      <c r="H65" s="171"/>
      <c r="I65" s="171"/>
      <c r="J65" s="172"/>
      <c r="K65" s="173" t="s">
        <v>254</v>
      </c>
      <c r="L65" s="208">
        <f>+(K41*L52*L70)-(K41*L52*L70*L47)</f>
        <v>495</v>
      </c>
    </row>
    <row r="66" spans="1:12" x14ac:dyDescent="0.25">
      <c r="A66" s="170">
        <v>5</v>
      </c>
      <c r="B66" s="171" t="s">
        <v>248</v>
      </c>
      <c r="C66" s="186">
        <v>0</v>
      </c>
      <c r="D66" s="180">
        <f t="shared" si="6"/>
        <v>0.625</v>
      </c>
      <c r="E66" s="204">
        <f t="shared" si="7"/>
        <v>0</v>
      </c>
      <c r="F66" s="189" t="s">
        <v>255</v>
      </c>
      <c r="G66" s="205"/>
      <c r="H66" s="171"/>
      <c r="I66" s="171"/>
      <c r="J66" s="172"/>
      <c r="K66" s="173" t="s">
        <v>256</v>
      </c>
      <c r="L66" s="208">
        <f>+L70*K41</f>
        <v>100</v>
      </c>
    </row>
    <row r="67" spans="1:12" x14ac:dyDescent="0.25">
      <c r="A67" s="170">
        <v>6</v>
      </c>
      <c r="B67" s="171" t="s">
        <v>248</v>
      </c>
      <c r="C67" s="186">
        <v>0</v>
      </c>
      <c r="D67" s="180">
        <f t="shared" si="6"/>
        <v>0.75</v>
      </c>
      <c r="E67" s="204">
        <f t="shared" si="7"/>
        <v>0</v>
      </c>
      <c r="F67" s="189" t="s">
        <v>257</v>
      </c>
      <c r="G67" s="205"/>
      <c r="H67" s="171"/>
      <c r="I67" s="171"/>
      <c r="J67" s="172"/>
      <c r="K67" s="173" t="s">
        <v>258</v>
      </c>
      <c r="L67" s="208">
        <f>+K41*L70*L42</f>
        <v>1750</v>
      </c>
    </row>
    <row r="68" spans="1:12" x14ac:dyDescent="0.25">
      <c r="A68" s="170">
        <v>7</v>
      </c>
      <c r="B68" s="171" t="s">
        <v>248</v>
      </c>
      <c r="C68" s="186">
        <v>1</v>
      </c>
      <c r="D68" s="180">
        <f t="shared" si="6"/>
        <v>0.875</v>
      </c>
      <c r="E68" s="204">
        <f t="shared" si="7"/>
        <v>0.875</v>
      </c>
      <c r="F68" s="189" t="s">
        <v>259</v>
      </c>
      <c r="G68" s="205"/>
      <c r="H68" s="171"/>
      <c r="I68" s="171"/>
      <c r="J68" s="172"/>
      <c r="K68" s="173" t="s">
        <v>260</v>
      </c>
      <c r="L68" s="179">
        <f>+L67*L43</f>
        <v>525</v>
      </c>
    </row>
    <row r="69" spans="1:12" x14ac:dyDescent="0.25">
      <c r="A69" s="170">
        <v>8</v>
      </c>
      <c r="B69" s="171" t="s">
        <v>248</v>
      </c>
      <c r="C69" s="186">
        <v>0</v>
      </c>
      <c r="D69" s="180">
        <f t="shared" si="6"/>
        <v>1</v>
      </c>
      <c r="E69" s="204">
        <f t="shared" si="7"/>
        <v>0</v>
      </c>
      <c r="F69" s="189" t="s">
        <v>161</v>
      </c>
      <c r="G69" s="205"/>
      <c r="H69" s="171"/>
      <c r="I69" s="171"/>
      <c r="J69" s="172"/>
      <c r="K69" s="209" t="s">
        <v>261</v>
      </c>
      <c r="L69" s="210">
        <f>+L58-L64</f>
        <v>874.42500000000018</v>
      </c>
    </row>
    <row r="70" spans="1:12" x14ac:dyDescent="0.25">
      <c r="A70" s="170">
        <v>9</v>
      </c>
      <c r="B70" s="171" t="s">
        <v>248</v>
      </c>
      <c r="C70" s="186">
        <v>0</v>
      </c>
      <c r="D70" s="211">
        <f t="shared" si="6"/>
        <v>1.125</v>
      </c>
      <c r="E70" s="204">
        <f t="shared" si="7"/>
        <v>0</v>
      </c>
      <c r="F70" s="189" t="s">
        <v>262</v>
      </c>
      <c r="G70" s="205"/>
      <c r="H70" s="212" t="s">
        <v>263</v>
      </c>
      <c r="I70" s="171"/>
      <c r="J70" s="172"/>
      <c r="K70" s="209" t="s">
        <v>264</v>
      </c>
      <c r="L70" s="213">
        <v>1</v>
      </c>
    </row>
    <row r="71" spans="1:12" ht="13.8" thickBot="1" x14ac:dyDescent="0.3">
      <c r="A71" s="170"/>
      <c r="B71" s="171"/>
      <c r="C71" s="171"/>
      <c r="D71" s="171"/>
      <c r="E71" s="172"/>
      <c r="F71" s="189" t="s">
        <v>265</v>
      </c>
      <c r="G71" s="205"/>
      <c r="H71" s="212" t="s">
        <v>266</v>
      </c>
      <c r="I71" s="171"/>
      <c r="J71" s="214"/>
      <c r="K71" s="173" t="s">
        <v>267</v>
      </c>
      <c r="L71" s="215">
        <f>+L69*L70</f>
        <v>874.42500000000018</v>
      </c>
    </row>
    <row r="72" spans="1:12" ht="14.4" thickBot="1" x14ac:dyDescent="0.3">
      <c r="A72" s="216"/>
      <c r="B72" s="217" t="s">
        <v>268</v>
      </c>
      <c r="C72" s="196">
        <f>SUM(C62:C70)</f>
        <v>2</v>
      </c>
      <c r="D72" s="217" t="s">
        <v>269</v>
      </c>
      <c r="E72" s="218">
        <f>SUM(E62:E70)</f>
        <v>1</v>
      </c>
      <c r="F72" s="216"/>
      <c r="G72" s="219">
        <f>SUM(G62:G71)</f>
        <v>0</v>
      </c>
      <c r="H72" s="220">
        <f>+L71</f>
        <v>874.42500000000018</v>
      </c>
      <c r="I72" s="196"/>
      <c r="J72" s="200"/>
      <c r="K72" s="221" t="s">
        <v>270</v>
      </c>
      <c r="L72" s="222">
        <f>+H72-G72</f>
        <v>874.42500000000018</v>
      </c>
    </row>
    <row r="73" spans="1:12" x14ac:dyDescent="0.25">
      <c r="A73" s="149"/>
      <c r="B73" s="149"/>
      <c r="C73" s="149"/>
      <c r="D73" s="149"/>
      <c r="E73" s="149"/>
      <c r="F73" s="149"/>
      <c r="G73" s="149"/>
      <c r="H73" s="149"/>
      <c r="I73" s="149"/>
      <c r="J73" s="149"/>
      <c r="K73" s="149"/>
      <c r="L73" s="149"/>
    </row>
    <row r="74" spans="1:12" ht="13.8" thickBot="1" x14ac:dyDescent="0.3">
      <c r="A74" s="149"/>
      <c r="B74" s="149"/>
      <c r="C74" s="149"/>
      <c r="D74" s="149"/>
      <c r="E74" s="149"/>
      <c r="F74" s="149"/>
      <c r="G74" s="149"/>
      <c r="H74" s="149"/>
      <c r="I74" s="149"/>
      <c r="J74" s="149"/>
      <c r="K74" s="149"/>
      <c r="L74" s="149"/>
    </row>
    <row r="75" spans="1:12" ht="14.4" thickBot="1" x14ac:dyDescent="0.35">
      <c r="A75" s="151" t="s">
        <v>111</v>
      </c>
      <c r="B75" s="152" t="s">
        <v>181</v>
      </c>
      <c r="C75" s="153"/>
      <c r="D75" s="153"/>
      <c r="E75" s="153"/>
      <c r="F75" s="153"/>
      <c r="G75" s="153"/>
      <c r="H75" s="153"/>
      <c r="I75" s="153"/>
      <c r="J75" s="153"/>
      <c r="K75" s="154"/>
      <c r="L75" s="155"/>
    </row>
    <row r="76" spans="1:12" ht="13.8" thickBot="1" x14ac:dyDescent="0.3">
      <c r="A76" s="156" t="s">
        <v>182</v>
      </c>
      <c r="B76" s="157" t="s">
        <v>183</v>
      </c>
      <c r="C76" s="158" t="s">
        <v>184</v>
      </c>
      <c r="D76" s="158" t="s">
        <v>185</v>
      </c>
      <c r="E76" s="159" t="s">
        <v>32</v>
      </c>
      <c r="F76" s="156" t="s">
        <v>186</v>
      </c>
      <c r="G76" s="160"/>
      <c r="H76" s="161"/>
      <c r="I76" s="161"/>
      <c r="J76" s="162"/>
      <c r="K76" s="163">
        <v>100</v>
      </c>
      <c r="L76" s="164" t="s">
        <v>116</v>
      </c>
    </row>
    <row r="77" spans="1:12" x14ac:dyDescent="0.25">
      <c r="A77" s="165" t="s">
        <v>187</v>
      </c>
      <c r="B77" s="166">
        <v>0.5</v>
      </c>
      <c r="C77" s="167">
        <v>1</v>
      </c>
      <c r="D77" s="168">
        <f t="shared" ref="D77:D89" si="8">+B$24</f>
        <v>10</v>
      </c>
      <c r="E77" s="169">
        <f t="shared" ref="E77:E93" si="9">+D77*C77*B77</f>
        <v>5</v>
      </c>
      <c r="F77" s="170"/>
      <c r="G77" s="171"/>
      <c r="H77" s="171"/>
      <c r="I77" s="171"/>
      <c r="J77" s="172"/>
      <c r="K77" s="173" t="s">
        <v>188</v>
      </c>
      <c r="L77" s="174">
        <f>+J87</f>
        <v>17.5</v>
      </c>
    </row>
    <row r="78" spans="1:12" x14ac:dyDescent="0.25">
      <c r="A78" s="175" t="s">
        <v>189</v>
      </c>
      <c r="B78" s="166">
        <v>0.5</v>
      </c>
      <c r="C78" s="166">
        <f>+G89</f>
        <v>18</v>
      </c>
      <c r="D78" s="176">
        <f t="shared" si="8"/>
        <v>10</v>
      </c>
      <c r="E78" s="169">
        <f t="shared" si="9"/>
        <v>90</v>
      </c>
      <c r="F78" s="170" t="s">
        <v>190</v>
      </c>
      <c r="G78" s="171"/>
      <c r="H78" s="171"/>
      <c r="I78" s="171" t="s">
        <v>32</v>
      </c>
      <c r="J78" s="172" t="s">
        <v>191</v>
      </c>
      <c r="K78" s="173" t="s">
        <v>192</v>
      </c>
      <c r="L78" s="177">
        <v>0.3</v>
      </c>
    </row>
    <row r="79" spans="1:12" x14ac:dyDescent="0.25">
      <c r="A79" s="175" t="s">
        <v>193</v>
      </c>
      <c r="B79" s="166">
        <v>1</v>
      </c>
      <c r="C79" s="166">
        <v>1</v>
      </c>
      <c r="D79" s="176">
        <f t="shared" si="8"/>
        <v>10</v>
      </c>
      <c r="E79" s="169">
        <f t="shared" si="9"/>
        <v>10</v>
      </c>
      <c r="F79" s="170" t="s">
        <v>194</v>
      </c>
      <c r="G79" s="171" t="s">
        <v>195</v>
      </c>
      <c r="H79" s="171" t="s">
        <v>196</v>
      </c>
      <c r="I79" s="178" t="s">
        <v>197</v>
      </c>
      <c r="J79" s="172"/>
      <c r="K79" s="173" t="s">
        <v>122</v>
      </c>
      <c r="L79" s="179">
        <f>+L78*L77</f>
        <v>5.25</v>
      </c>
    </row>
    <row r="80" spans="1:12" x14ac:dyDescent="0.25">
      <c r="A80" s="175" t="s">
        <v>198</v>
      </c>
      <c r="B80" s="166">
        <v>0.5</v>
      </c>
      <c r="C80" s="166">
        <f>+G90</f>
        <v>38</v>
      </c>
      <c r="D80" s="176">
        <f t="shared" si="8"/>
        <v>10</v>
      </c>
      <c r="E80" s="169">
        <f t="shared" si="9"/>
        <v>190</v>
      </c>
      <c r="F80" s="175">
        <v>35</v>
      </c>
      <c r="G80" s="180">
        <f>+G$16*H80</f>
        <v>6.125</v>
      </c>
      <c r="H80" s="181">
        <v>1.75</v>
      </c>
      <c r="I80" s="171">
        <f>+G80*K$6</f>
        <v>612.5</v>
      </c>
      <c r="J80" s="182">
        <v>8.99</v>
      </c>
      <c r="K80" s="173" t="s">
        <v>199</v>
      </c>
      <c r="L80" s="177">
        <v>1.1000000000000001</v>
      </c>
    </row>
    <row r="81" spans="1:12" x14ac:dyDescent="0.25">
      <c r="A81" s="175" t="s">
        <v>200</v>
      </c>
      <c r="B81" s="166">
        <v>2</v>
      </c>
      <c r="C81" s="166">
        <v>1</v>
      </c>
      <c r="D81" s="176">
        <f t="shared" si="8"/>
        <v>10</v>
      </c>
      <c r="E81" s="169">
        <f t="shared" si="9"/>
        <v>20</v>
      </c>
      <c r="F81" s="175">
        <v>42</v>
      </c>
      <c r="G81" s="180">
        <f>+G$16*H81</f>
        <v>8.75</v>
      </c>
      <c r="H81" s="181">
        <v>2.5</v>
      </c>
      <c r="I81" s="171">
        <f>+G81*K$6</f>
        <v>875</v>
      </c>
      <c r="J81" s="182">
        <v>6.99</v>
      </c>
      <c r="K81" s="173" t="s">
        <v>201</v>
      </c>
      <c r="L81" s="183">
        <f>SUM(L79:L80)</f>
        <v>6.35</v>
      </c>
    </row>
    <row r="82" spans="1:12" x14ac:dyDescent="0.25">
      <c r="A82" s="175" t="s">
        <v>202</v>
      </c>
      <c r="B82" s="166">
        <v>2</v>
      </c>
      <c r="C82" s="166">
        <v>1</v>
      </c>
      <c r="D82" s="176">
        <f t="shared" si="8"/>
        <v>10</v>
      </c>
      <c r="E82" s="169">
        <f t="shared" si="9"/>
        <v>20</v>
      </c>
      <c r="F82" s="175">
        <v>49</v>
      </c>
      <c r="G82" s="180">
        <f>+G$16*H82</f>
        <v>12.25</v>
      </c>
      <c r="H82" s="181">
        <v>3.5</v>
      </c>
      <c r="I82" s="171">
        <f>+G82*K$6</f>
        <v>1225</v>
      </c>
      <c r="J82" s="182">
        <v>4.99</v>
      </c>
      <c r="K82" s="173" t="s">
        <v>203</v>
      </c>
      <c r="L82" s="184">
        <f>+E107/100</f>
        <v>0.01</v>
      </c>
    </row>
    <row r="83" spans="1:12" x14ac:dyDescent="0.25">
      <c r="A83" s="175" t="s">
        <v>204</v>
      </c>
      <c r="B83" s="166">
        <v>0.5</v>
      </c>
      <c r="C83" s="166">
        <v>1</v>
      </c>
      <c r="D83" s="176">
        <f t="shared" si="8"/>
        <v>10</v>
      </c>
      <c r="E83" s="169">
        <f t="shared" si="9"/>
        <v>5</v>
      </c>
      <c r="F83" s="175">
        <v>56</v>
      </c>
      <c r="G83" s="180">
        <f>+G$16*H83</f>
        <v>17.5</v>
      </c>
      <c r="H83" s="181">
        <v>5</v>
      </c>
      <c r="I83" s="171">
        <f>+G83*K$6</f>
        <v>1750</v>
      </c>
      <c r="J83" s="182">
        <v>4.5</v>
      </c>
      <c r="K83" s="173" t="s">
        <v>129</v>
      </c>
      <c r="L83" s="183">
        <f>+L81*K76*L82</f>
        <v>6.3500000000000005</v>
      </c>
    </row>
    <row r="84" spans="1:12" x14ac:dyDescent="0.25">
      <c r="A84" s="175" t="s">
        <v>205</v>
      </c>
      <c r="B84" s="166">
        <v>2</v>
      </c>
      <c r="C84" s="166">
        <v>1</v>
      </c>
      <c r="D84" s="176">
        <f t="shared" si="8"/>
        <v>10</v>
      </c>
      <c r="E84" s="169">
        <f t="shared" si="9"/>
        <v>20</v>
      </c>
      <c r="F84" s="175">
        <v>63</v>
      </c>
      <c r="G84" s="180">
        <f>+G$16*H84</f>
        <v>21</v>
      </c>
      <c r="H84" s="181">
        <v>6</v>
      </c>
      <c r="I84" s="171">
        <f>+G84*K$6</f>
        <v>2100</v>
      </c>
      <c r="J84" s="182">
        <v>4.5</v>
      </c>
      <c r="K84" s="173" t="s">
        <v>206</v>
      </c>
      <c r="L84" s="177">
        <v>2</v>
      </c>
    </row>
    <row r="85" spans="1:12" x14ac:dyDescent="0.25">
      <c r="A85" s="175" t="s">
        <v>207</v>
      </c>
      <c r="B85" s="166">
        <v>1</v>
      </c>
      <c r="C85" s="166">
        <v>1</v>
      </c>
      <c r="D85" s="176">
        <f t="shared" si="8"/>
        <v>10</v>
      </c>
      <c r="E85" s="169">
        <f t="shared" si="9"/>
        <v>10</v>
      </c>
      <c r="F85" s="170"/>
      <c r="G85" s="171"/>
      <c r="H85" s="171"/>
      <c r="I85" s="171"/>
      <c r="J85" s="172"/>
      <c r="K85" s="173" t="s">
        <v>208</v>
      </c>
      <c r="L85" s="179">
        <f>+L84*K76</f>
        <v>200</v>
      </c>
    </row>
    <row r="86" spans="1:12" x14ac:dyDescent="0.25">
      <c r="A86" s="175" t="s">
        <v>209</v>
      </c>
      <c r="B86" s="166">
        <v>3</v>
      </c>
      <c r="C86" s="166">
        <v>1</v>
      </c>
      <c r="D86" s="176">
        <f t="shared" si="8"/>
        <v>10</v>
      </c>
      <c r="E86" s="169">
        <f t="shared" si="9"/>
        <v>30</v>
      </c>
      <c r="F86" s="185" t="s">
        <v>210</v>
      </c>
      <c r="G86" s="186">
        <v>4.05</v>
      </c>
      <c r="H86" s="171" t="s">
        <v>211</v>
      </c>
      <c r="I86" s="171"/>
      <c r="J86" s="172"/>
      <c r="K86" s="173" t="s">
        <v>212</v>
      </c>
      <c r="L86" s="179">
        <f>+(L81*K76)+L83+L85</f>
        <v>841.35</v>
      </c>
    </row>
    <row r="87" spans="1:12" ht="13.8" x14ac:dyDescent="0.3">
      <c r="A87" s="175" t="s">
        <v>213</v>
      </c>
      <c r="B87" s="166">
        <v>1.5</v>
      </c>
      <c r="C87" s="166">
        <v>1</v>
      </c>
      <c r="D87" s="176">
        <f t="shared" si="8"/>
        <v>10</v>
      </c>
      <c r="E87" s="169">
        <f t="shared" si="9"/>
        <v>15</v>
      </c>
      <c r="F87" s="170"/>
      <c r="G87" s="171"/>
      <c r="H87" s="149"/>
      <c r="I87" s="187" t="s">
        <v>214</v>
      </c>
      <c r="J87" s="171">
        <f>VLOOKUP(G88,F80:I84,2,FALSE)</f>
        <v>17.5</v>
      </c>
      <c r="K87" s="173" t="s">
        <v>215</v>
      </c>
      <c r="L87" s="188">
        <f>VLOOKUP(G88,F80:I84,3)</f>
        <v>5</v>
      </c>
    </row>
    <row r="88" spans="1:12" x14ac:dyDescent="0.25">
      <c r="A88" s="175" t="s">
        <v>216</v>
      </c>
      <c r="B88" s="166">
        <v>1</v>
      </c>
      <c r="C88" s="166">
        <v>1</v>
      </c>
      <c r="D88" s="176">
        <f t="shared" si="8"/>
        <v>10</v>
      </c>
      <c r="E88" s="169">
        <f t="shared" si="9"/>
        <v>10</v>
      </c>
      <c r="F88" s="185" t="s">
        <v>217</v>
      </c>
      <c r="G88" s="186">
        <v>56</v>
      </c>
      <c r="H88" s="149"/>
      <c r="I88" s="171"/>
      <c r="J88" s="172"/>
      <c r="K88" s="173" t="s">
        <v>218</v>
      </c>
      <c r="L88" s="179">
        <f>+L86/(L87*K76)</f>
        <v>1.6827000000000001</v>
      </c>
    </row>
    <row r="89" spans="1:12" x14ac:dyDescent="0.25">
      <c r="A89" s="175" t="s">
        <v>219</v>
      </c>
      <c r="B89" s="166">
        <v>1</v>
      </c>
      <c r="C89" s="166">
        <v>1</v>
      </c>
      <c r="D89" s="176">
        <f t="shared" si="8"/>
        <v>10</v>
      </c>
      <c r="E89" s="169">
        <f t="shared" si="9"/>
        <v>10</v>
      </c>
      <c r="F89" s="185" t="s">
        <v>88</v>
      </c>
      <c r="G89" s="186">
        <v>18</v>
      </c>
      <c r="H89" s="171"/>
      <c r="I89" s="171"/>
      <c r="J89" s="172"/>
      <c r="K89" s="173" t="s">
        <v>220</v>
      </c>
      <c r="L89" s="179">
        <f>VLOOKUP(G88,F80:J84,5,TRUE)</f>
        <v>4.5</v>
      </c>
    </row>
    <row r="90" spans="1:12" x14ac:dyDescent="0.25">
      <c r="A90" s="175" t="s">
        <v>221</v>
      </c>
      <c r="B90" s="166">
        <v>50</v>
      </c>
      <c r="C90" s="166">
        <v>1</v>
      </c>
      <c r="D90" s="176">
        <v>0.5</v>
      </c>
      <c r="E90" s="169">
        <f t="shared" si="9"/>
        <v>25</v>
      </c>
      <c r="F90" s="185" t="s">
        <v>222</v>
      </c>
      <c r="G90" s="171">
        <f>+G88-G89</f>
        <v>38</v>
      </c>
      <c r="H90" s="171"/>
      <c r="I90" s="171"/>
      <c r="J90" s="172"/>
      <c r="K90" s="173" t="s">
        <v>223</v>
      </c>
      <c r="L90" s="179">
        <f>+L89*L87*(K76-L82)</f>
        <v>2249.7750000000001</v>
      </c>
    </row>
    <row r="91" spans="1:12" x14ac:dyDescent="0.25">
      <c r="A91" s="175" t="s">
        <v>224</v>
      </c>
      <c r="B91" s="166">
        <v>50</v>
      </c>
      <c r="C91" s="166">
        <v>1</v>
      </c>
      <c r="D91" s="176">
        <v>0.5</v>
      </c>
      <c r="E91" s="169">
        <f t="shared" si="9"/>
        <v>25</v>
      </c>
      <c r="F91" s="189"/>
      <c r="G91" s="178"/>
      <c r="H91" s="171"/>
      <c r="I91" s="171"/>
      <c r="J91" s="172"/>
      <c r="K91" s="173" t="s">
        <v>225</v>
      </c>
      <c r="L91" s="190">
        <v>0</v>
      </c>
    </row>
    <row r="92" spans="1:12" x14ac:dyDescent="0.25">
      <c r="A92" s="175" t="s">
        <v>226</v>
      </c>
      <c r="B92" s="166">
        <v>100</v>
      </c>
      <c r="C92" s="166">
        <v>1</v>
      </c>
      <c r="D92" s="176">
        <v>0.14000000000000001</v>
      </c>
      <c r="E92" s="169">
        <f t="shared" si="9"/>
        <v>14.000000000000002</v>
      </c>
      <c r="F92" s="189"/>
      <c r="G92" s="178"/>
      <c r="H92" s="171"/>
      <c r="I92" s="171"/>
      <c r="J92" s="172"/>
      <c r="K92" s="173" t="s">
        <v>227</v>
      </c>
      <c r="L92" s="179">
        <f>+L90*L91</f>
        <v>0</v>
      </c>
    </row>
    <row r="93" spans="1:12" x14ac:dyDescent="0.25">
      <c r="A93" s="175"/>
      <c r="B93" s="166"/>
      <c r="C93" s="191"/>
      <c r="D93" s="192"/>
      <c r="E93" s="169">
        <f t="shared" si="9"/>
        <v>0</v>
      </c>
      <c r="F93" s="189"/>
      <c r="G93" s="178"/>
      <c r="H93" s="171"/>
      <c r="I93" s="171"/>
      <c r="J93" s="172"/>
      <c r="K93" s="173" t="s">
        <v>228</v>
      </c>
      <c r="L93" s="179">
        <f>+L90-L86-L92</f>
        <v>1408.4250000000002</v>
      </c>
    </row>
    <row r="94" spans="1:12" ht="13.8" thickBot="1" x14ac:dyDescent="0.3">
      <c r="A94" s="193" t="s">
        <v>229</v>
      </c>
      <c r="B94" s="194">
        <v>10</v>
      </c>
      <c r="C94" s="195" t="s">
        <v>230</v>
      </c>
      <c r="D94" s="196"/>
      <c r="E94" s="197">
        <f>SUM(E77:E93)</f>
        <v>499</v>
      </c>
      <c r="F94" s="198"/>
      <c r="G94" s="199"/>
      <c r="H94" s="196"/>
      <c r="I94" s="196"/>
      <c r="J94" s="200"/>
      <c r="K94" s="173" t="s">
        <v>231</v>
      </c>
      <c r="L94" s="179">
        <f>+E94</f>
        <v>499</v>
      </c>
    </row>
    <row r="95" spans="1:12" x14ac:dyDescent="0.25">
      <c r="A95" s="156" t="s">
        <v>232</v>
      </c>
      <c r="B95" s="201">
        <f>+G88/7</f>
        <v>8</v>
      </c>
      <c r="C95" s="154" t="s">
        <v>233</v>
      </c>
      <c r="D95" s="154"/>
      <c r="E95" s="155"/>
      <c r="F95" s="156" t="s">
        <v>234</v>
      </c>
      <c r="G95" s="160"/>
      <c r="H95" s="161"/>
      <c r="I95" s="161"/>
      <c r="J95" s="162"/>
      <c r="K95" s="202" t="s">
        <v>235</v>
      </c>
      <c r="L95" s="177">
        <v>25</v>
      </c>
    </row>
    <row r="96" spans="1:12" x14ac:dyDescent="0.25">
      <c r="A96" s="185" t="s">
        <v>236</v>
      </c>
      <c r="B96" s="171"/>
      <c r="C96" s="171" t="s">
        <v>237</v>
      </c>
      <c r="D96" s="171" t="s">
        <v>238</v>
      </c>
      <c r="E96" s="172" t="s">
        <v>239</v>
      </c>
      <c r="F96" s="170" t="s">
        <v>240</v>
      </c>
      <c r="G96" s="178" t="s">
        <v>241</v>
      </c>
      <c r="H96" s="171"/>
      <c r="I96" s="203" t="s">
        <v>242</v>
      </c>
      <c r="J96" s="169">
        <f>+L94*L105</f>
        <v>499</v>
      </c>
      <c r="K96" s="202" t="s">
        <v>243</v>
      </c>
      <c r="L96" s="177">
        <v>10</v>
      </c>
    </row>
    <row r="97" spans="1:12" x14ac:dyDescent="0.25">
      <c r="A97" s="170">
        <v>1</v>
      </c>
      <c r="B97" s="171" t="s">
        <v>244</v>
      </c>
      <c r="C97" s="186">
        <v>1</v>
      </c>
      <c r="D97" s="180">
        <f>+A97/B$25</f>
        <v>0.125</v>
      </c>
      <c r="E97" s="204">
        <f>+D97*C97</f>
        <v>0.125</v>
      </c>
      <c r="F97" s="189" t="s">
        <v>245</v>
      </c>
      <c r="G97" s="205"/>
      <c r="H97" s="171"/>
      <c r="I97" s="203" t="s">
        <v>246</v>
      </c>
      <c r="J97" s="206"/>
      <c r="K97" s="202" t="s">
        <v>247</v>
      </c>
      <c r="L97" s="177">
        <v>0</v>
      </c>
    </row>
    <row r="98" spans="1:12" x14ac:dyDescent="0.25">
      <c r="A98" s="170">
        <v>2</v>
      </c>
      <c r="B98" s="171" t="s">
        <v>248</v>
      </c>
      <c r="C98" s="186">
        <v>0</v>
      </c>
      <c r="D98" s="180">
        <f t="shared" ref="D98:D105" si="10">+A98/B$25</f>
        <v>0.25</v>
      </c>
      <c r="E98" s="204">
        <f t="shared" ref="E98:E105" si="11">+D98*C98</f>
        <v>0</v>
      </c>
      <c r="F98" s="189" t="s">
        <v>249</v>
      </c>
      <c r="G98" s="205"/>
      <c r="H98" s="171"/>
      <c r="I98" s="203" t="s">
        <v>250</v>
      </c>
      <c r="J98" s="207">
        <f>+J96-J97</f>
        <v>499</v>
      </c>
      <c r="K98" s="202" t="s">
        <v>247</v>
      </c>
      <c r="L98" s="177">
        <v>0</v>
      </c>
    </row>
    <row r="99" spans="1:12" x14ac:dyDescent="0.25">
      <c r="A99" s="170">
        <v>3</v>
      </c>
      <c r="B99" s="171" t="s">
        <v>248</v>
      </c>
      <c r="C99" s="186">
        <v>0</v>
      </c>
      <c r="D99" s="180">
        <f t="shared" si="10"/>
        <v>0.375</v>
      </c>
      <c r="E99" s="204">
        <f t="shared" si="11"/>
        <v>0</v>
      </c>
      <c r="F99" s="189" t="s">
        <v>251</v>
      </c>
      <c r="G99" s="205"/>
      <c r="H99" s="171"/>
      <c r="I99" s="171"/>
      <c r="J99" s="172"/>
      <c r="K99" s="173" t="s">
        <v>252</v>
      </c>
      <c r="L99" s="183">
        <f>SUM(L94:L98)</f>
        <v>534</v>
      </c>
    </row>
    <row r="100" spans="1:12" x14ac:dyDescent="0.25">
      <c r="A100" s="170">
        <v>4</v>
      </c>
      <c r="B100" s="171" t="s">
        <v>248</v>
      </c>
      <c r="C100" s="186">
        <v>0</v>
      </c>
      <c r="D100" s="180">
        <f t="shared" si="10"/>
        <v>0.5</v>
      </c>
      <c r="E100" s="204">
        <f t="shared" si="11"/>
        <v>0</v>
      </c>
      <c r="F100" s="170" t="s">
        <v>253</v>
      </c>
      <c r="G100" s="205"/>
      <c r="H100" s="171"/>
      <c r="I100" s="171"/>
      <c r="J100" s="172"/>
      <c r="K100" s="173" t="s">
        <v>254</v>
      </c>
      <c r="L100" s="208">
        <f>+(K76*L87*L105)-(K76*L87*L105*L82)</f>
        <v>495</v>
      </c>
    </row>
    <row r="101" spans="1:12" x14ac:dyDescent="0.25">
      <c r="A101" s="170">
        <v>5</v>
      </c>
      <c r="B101" s="171" t="s">
        <v>248</v>
      </c>
      <c r="C101" s="186">
        <v>0</v>
      </c>
      <c r="D101" s="180">
        <f t="shared" si="10"/>
        <v>0.625</v>
      </c>
      <c r="E101" s="204">
        <f t="shared" si="11"/>
        <v>0</v>
      </c>
      <c r="F101" s="189" t="s">
        <v>255</v>
      </c>
      <c r="G101" s="205"/>
      <c r="H101" s="171"/>
      <c r="I101" s="171"/>
      <c r="J101" s="172"/>
      <c r="K101" s="173" t="s">
        <v>256</v>
      </c>
      <c r="L101" s="208">
        <f>+L105*K76</f>
        <v>100</v>
      </c>
    </row>
    <row r="102" spans="1:12" x14ac:dyDescent="0.25">
      <c r="A102" s="170">
        <v>6</v>
      </c>
      <c r="B102" s="171" t="s">
        <v>248</v>
      </c>
      <c r="C102" s="186">
        <v>0</v>
      </c>
      <c r="D102" s="180">
        <f t="shared" si="10"/>
        <v>0.75</v>
      </c>
      <c r="E102" s="204">
        <f t="shared" si="11"/>
        <v>0</v>
      </c>
      <c r="F102" s="189" t="s">
        <v>257</v>
      </c>
      <c r="G102" s="205"/>
      <c r="H102" s="171"/>
      <c r="I102" s="171"/>
      <c r="J102" s="172"/>
      <c r="K102" s="173" t="s">
        <v>258</v>
      </c>
      <c r="L102" s="208">
        <f>+K76*L105*L77</f>
        <v>1750</v>
      </c>
    </row>
    <row r="103" spans="1:12" x14ac:dyDescent="0.25">
      <c r="A103" s="170">
        <v>7</v>
      </c>
      <c r="B103" s="171" t="s">
        <v>248</v>
      </c>
      <c r="C103" s="186">
        <v>1</v>
      </c>
      <c r="D103" s="180">
        <f t="shared" si="10"/>
        <v>0.875</v>
      </c>
      <c r="E103" s="204">
        <f t="shared" si="11"/>
        <v>0.875</v>
      </c>
      <c r="F103" s="189" t="s">
        <v>259</v>
      </c>
      <c r="G103" s="205"/>
      <c r="H103" s="171"/>
      <c r="I103" s="171"/>
      <c r="J103" s="172"/>
      <c r="K103" s="173" t="s">
        <v>260</v>
      </c>
      <c r="L103" s="179">
        <f>+L102*L78</f>
        <v>525</v>
      </c>
    </row>
    <row r="104" spans="1:12" x14ac:dyDescent="0.25">
      <c r="A104" s="170">
        <v>8</v>
      </c>
      <c r="B104" s="171" t="s">
        <v>248</v>
      </c>
      <c r="C104" s="186">
        <v>0</v>
      </c>
      <c r="D104" s="180">
        <f t="shared" si="10"/>
        <v>1</v>
      </c>
      <c r="E104" s="204">
        <f t="shared" si="11"/>
        <v>0</v>
      </c>
      <c r="F104" s="189" t="s">
        <v>161</v>
      </c>
      <c r="G104" s="205"/>
      <c r="H104" s="171"/>
      <c r="I104" s="171"/>
      <c r="J104" s="172"/>
      <c r="K104" s="209" t="s">
        <v>261</v>
      </c>
      <c r="L104" s="210">
        <f>+L93-L99</f>
        <v>874.42500000000018</v>
      </c>
    </row>
    <row r="105" spans="1:12" x14ac:dyDescent="0.25">
      <c r="A105" s="170">
        <v>9</v>
      </c>
      <c r="B105" s="171" t="s">
        <v>248</v>
      </c>
      <c r="C105" s="186">
        <v>0</v>
      </c>
      <c r="D105" s="211">
        <f t="shared" si="10"/>
        <v>1.125</v>
      </c>
      <c r="E105" s="204">
        <f t="shared" si="11"/>
        <v>0</v>
      </c>
      <c r="F105" s="189" t="s">
        <v>262</v>
      </c>
      <c r="G105" s="205"/>
      <c r="H105" s="212" t="s">
        <v>263</v>
      </c>
      <c r="I105" s="171"/>
      <c r="J105" s="172"/>
      <c r="K105" s="209" t="s">
        <v>264</v>
      </c>
      <c r="L105" s="213">
        <v>1</v>
      </c>
    </row>
    <row r="106" spans="1:12" ht="13.8" thickBot="1" x14ac:dyDescent="0.3">
      <c r="A106" s="170"/>
      <c r="B106" s="171"/>
      <c r="C106" s="171"/>
      <c r="D106" s="171"/>
      <c r="E106" s="172"/>
      <c r="F106" s="189" t="s">
        <v>265</v>
      </c>
      <c r="G106" s="205"/>
      <c r="H106" s="212" t="s">
        <v>266</v>
      </c>
      <c r="I106" s="171"/>
      <c r="J106" s="214"/>
      <c r="K106" s="173" t="s">
        <v>267</v>
      </c>
      <c r="L106" s="215">
        <f>+L104*L105</f>
        <v>874.42500000000018</v>
      </c>
    </row>
    <row r="107" spans="1:12" ht="14.4" thickBot="1" x14ac:dyDescent="0.3">
      <c r="A107" s="216"/>
      <c r="B107" s="217" t="s">
        <v>268</v>
      </c>
      <c r="C107" s="196">
        <f>SUM(C97:C105)</f>
        <v>2</v>
      </c>
      <c r="D107" s="217" t="s">
        <v>269</v>
      </c>
      <c r="E107" s="218">
        <f>SUM(E97:E105)</f>
        <v>1</v>
      </c>
      <c r="F107" s="216"/>
      <c r="G107" s="219">
        <f>SUM(G97:G106)</f>
        <v>0</v>
      </c>
      <c r="H107" s="220">
        <f>+L106</f>
        <v>874.42500000000018</v>
      </c>
      <c r="I107" s="196"/>
      <c r="J107" s="200"/>
      <c r="K107" s="221" t="s">
        <v>270</v>
      </c>
      <c r="L107" s="222">
        <f>+H107-G107</f>
        <v>874.42500000000018</v>
      </c>
    </row>
    <row r="108" spans="1:12" x14ac:dyDescent="0.25">
      <c r="A108" s="149"/>
      <c r="B108" s="149"/>
      <c r="C108" s="149"/>
      <c r="D108" s="149"/>
      <c r="E108" s="149"/>
      <c r="F108" s="149"/>
      <c r="G108" s="149"/>
      <c r="H108" s="149"/>
      <c r="I108" s="149"/>
      <c r="J108" s="149"/>
      <c r="K108" s="149"/>
      <c r="L108" s="149"/>
    </row>
    <row r="109" spans="1:12" ht="13.8" thickBot="1" x14ac:dyDescent="0.3">
      <c r="A109" s="149"/>
      <c r="B109" s="149"/>
      <c r="C109" s="149"/>
      <c r="D109" s="149"/>
      <c r="E109" s="149"/>
      <c r="F109" s="149"/>
      <c r="G109" s="149"/>
      <c r="H109" s="149"/>
      <c r="I109" s="149"/>
      <c r="J109" s="149"/>
      <c r="K109" s="149"/>
      <c r="L109" s="149"/>
    </row>
    <row r="110" spans="1:12" ht="14.4" thickBot="1" x14ac:dyDescent="0.35">
      <c r="A110" s="151" t="s">
        <v>113</v>
      </c>
      <c r="B110" s="152" t="s">
        <v>181</v>
      </c>
      <c r="C110" s="153"/>
      <c r="D110" s="153"/>
      <c r="E110" s="153"/>
      <c r="F110" s="153"/>
      <c r="G110" s="153"/>
      <c r="H110" s="153"/>
      <c r="I110" s="153"/>
      <c r="J110" s="153"/>
      <c r="K110" s="154"/>
      <c r="L110" s="155"/>
    </row>
    <row r="111" spans="1:12" ht="13.8" thickBot="1" x14ac:dyDescent="0.3">
      <c r="A111" s="156" t="s">
        <v>182</v>
      </c>
      <c r="B111" s="157" t="s">
        <v>183</v>
      </c>
      <c r="C111" s="158" t="s">
        <v>184</v>
      </c>
      <c r="D111" s="158" t="s">
        <v>185</v>
      </c>
      <c r="E111" s="159" t="s">
        <v>32</v>
      </c>
      <c r="F111" s="156" t="s">
        <v>186</v>
      </c>
      <c r="G111" s="160"/>
      <c r="H111" s="161"/>
      <c r="I111" s="161"/>
      <c r="J111" s="162"/>
      <c r="K111" s="163">
        <v>100</v>
      </c>
      <c r="L111" s="164" t="s">
        <v>116</v>
      </c>
    </row>
    <row r="112" spans="1:12" x14ac:dyDescent="0.25">
      <c r="A112" s="165" t="s">
        <v>187</v>
      </c>
      <c r="B112" s="166">
        <v>0.5</v>
      </c>
      <c r="C112" s="167">
        <v>1</v>
      </c>
      <c r="D112" s="168">
        <f t="shared" ref="D112:D124" si="12">+B$24</f>
        <v>10</v>
      </c>
      <c r="E112" s="169">
        <f t="shared" ref="E112:E128" si="13">+D112*C112*B112</f>
        <v>5</v>
      </c>
      <c r="F112" s="170"/>
      <c r="G112" s="171"/>
      <c r="H112" s="171"/>
      <c r="I112" s="171"/>
      <c r="J112" s="172"/>
      <c r="K112" s="173" t="s">
        <v>188</v>
      </c>
      <c r="L112" s="174">
        <f>+J122</f>
        <v>17.5</v>
      </c>
    </row>
    <row r="113" spans="1:12" x14ac:dyDescent="0.25">
      <c r="A113" s="175" t="s">
        <v>189</v>
      </c>
      <c r="B113" s="166">
        <v>0.5</v>
      </c>
      <c r="C113" s="166">
        <f>+G124</f>
        <v>18</v>
      </c>
      <c r="D113" s="176">
        <f t="shared" si="12"/>
        <v>10</v>
      </c>
      <c r="E113" s="169">
        <f t="shared" si="13"/>
        <v>90</v>
      </c>
      <c r="F113" s="170" t="s">
        <v>190</v>
      </c>
      <c r="G113" s="171"/>
      <c r="H113" s="171"/>
      <c r="I113" s="171" t="s">
        <v>32</v>
      </c>
      <c r="J113" s="172" t="s">
        <v>191</v>
      </c>
      <c r="K113" s="173" t="s">
        <v>192</v>
      </c>
      <c r="L113" s="177">
        <v>0.3</v>
      </c>
    </row>
    <row r="114" spans="1:12" x14ac:dyDescent="0.25">
      <c r="A114" s="175" t="s">
        <v>193</v>
      </c>
      <c r="B114" s="166">
        <v>1</v>
      </c>
      <c r="C114" s="166">
        <v>1</v>
      </c>
      <c r="D114" s="176">
        <f t="shared" si="12"/>
        <v>10</v>
      </c>
      <c r="E114" s="169">
        <f t="shared" si="13"/>
        <v>10</v>
      </c>
      <c r="F114" s="170" t="s">
        <v>194</v>
      </c>
      <c r="G114" s="171" t="s">
        <v>195</v>
      </c>
      <c r="H114" s="171" t="s">
        <v>196</v>
      </c>
      <c r="I114" s="178" t="s">
        <v>197</v>
      </c>
      <c r="J114" s="172"/>
      <c r="K114" s="173" t="s">
        <v>122</v>
      </c>
      <c r="L114" s="179">
        <f>+L113*L112</f>
        <v>5.25</v>
      </c>
    </row>
    <row r="115" spans="1:12" x14ac:dyDescent="0.25">
      <c r="A115" s="175" t="s">
        <v>198</v>
      </c>
      <c r="B115" s="166">
        <v>0.5</v>
      </c>
      <c r="C115" s="166">
        <f>+G125</f>
        <v>38</v>
      </c>
      <c r="D115" s="176">
        <f t="shared" si="12"/>
        <v>10</v>
      </c>
      <c r="E115" s="169">
        <f t="shared" si="13"/>
        <v>190</v>
      </c>
      <c r="F115" s="175">
        <v>35</v>
      </c>
      <c r="G115" s="180">
        <f>+G$16*H115</f>
        <v>6.125</v>
      </c>
      <c r="H115" s="181">
        <v>1.75</v>
      </c>
      <c r="I115" s="171">
        <f>+G115*K$6</f>
        <v>612.5</v>
      </c>
      <c r="J115" s="182">
        <v>8.99</v>
      </c>
      <c r="K115" s="173" t="s">
        <v>199</v>
      </c>
      <c r="L115" s="177">
        <v>1.1000000000000001</v>
      </c>
    </row>
    <row r="116" spans="1:12" x14ac:dyDescent="0.25">
      <c r="A116" s="175" t="s">
        <v>200</v>
      </c>
      <c r="B116" s="166">
        <v>2</v>
      </c>
      <c r="C116" s="166">
        <v>1</v>
      </c>
      <c r="D116" s="176">
        <f t="shared" si="12"/>
        <v>10</v>
      </c>
      <c r="E116" s="169">
        <f t="shared" si="13"/>
        <v>20</v>
      </c>
      <c r="F116" s="175">
        <v>42</v>
      </c>
      <c r="G116" s="180">
        <f>+G$16*H116</f>
        <v>8.75</v>
      </c>
      <c r="H116" s="181">
        <v>2.5</v>
      </c>
      <c r="I116" s="171">
        <f>+G116*K$6</f>
        <v>875</v>
      </c>
      <c r="J116" s="182">
        <v>6.99</v>
      </c>
      <c r="K116" s="173" t="s">
        <v>201</v>
      </c>
      <c r="L116" s="183">
        <f>SUM(L114:L115)</f>
        <v>6.35</v>
      </c>
    </row>
    <row r="117" spans="1:12" x14ac:dyDescent="0.25">
      <c r="A117" s="175" t="s">
        <v>202</v>
      </c>
      <c r="B117" s="166">
        <v>2</v>
      </c>
      <c r="C117" s="166">
        <v>1</v>
      </c>
      <c r="D117" s="176">
        <f t="shared" si="12"/>
        <v>10</v>
      </c>
      <c r="E117" s="169">
        <f t="shared" si="13"/>
        <v>20</v>
      </c>
      <c r="F117" s="175">
        <v>49</v>
      </c>
      <c r="G117" s="180">
        <f>+G$16*H117</f>
        <v>12.25</v>
      </c>
      <c r="H117" s="181">
        <v>3.5</v>
      </c>
      <c r="I117" s="171">
        <f>+G117*K$6</f>
        <v>1225</v>
      </c>
      <c r="J117" s="182">
        <v>4.99</v>
      </c>
      <c r="K117" s="173" t="s">
        <v>203</v>
      </c>
      <c r="L117" s="184">
        <f>+E142/100</f>
        <v>0.01</v>
      </c>
    </row>
    <row r="118" spans="1:12" x14ac:dyDescent="0.25">
      <c r="A118" s="175" t="s">
        <v>204</v>
      </c>
      <c r="B118" s="166">
        <v>0.5</v>
      </c>
      <c r="C118" s="166">
        <v>1</v>
      </c>
      <c r="D118" s="176">
        <f t="shared" si="12"/>
        <v>10</v>
      </c>
      <c r="E118" s="169">
        <f t="shared" si="13"/>
        <v>5</v>
      </c>
      <c r="F118" s="175">
        <v>56</v>
      </c>
      <c r="G118" s="180">
        <f>+G$16*H118</f>
        <v>17.5</v>
      </c>
      <c r="H118" s="181">
        <v>5</v>
      </c>
      <c r="I118" s="171">
        <f>+G118*K$6</f>
        <v>1750</v>
      </c>
      <c r="J118" s="182">
        <v>4.5</v>
      </c>
      <c r="K118" s="173" t="s">
        <v>129</v>
      </c>
      <c r="L118" s="183">
        <f>+L116*K111*L117</f>
        <v>6.3500000000000005</v>
      </c>
    </row>
    <row r="119" spans="1:12" x14ac:dyDescent="0.25">
      <c r="A119" s="175" t="s">
        <v>205</v>
      </c>
      <c r="B119" s="166">
        <v>2</v>
      </c>
      <c r="C119" s="166">
        <v>1</v>
      </c>
      <c r="D119" s="176">
        <f t="shared" si="12"/>
        <v>10</v>
      </c>
      <c r="E119" s="169">
        <f t="shared" si="13"/>
        <v>20</v>
      </c>
      <c r="F119" s="175">
        <v>63</v>
      </c>
      <c r="G119" s="180">
        <f>+G$16*H119</f>
        <v>21</v>
      </c>
      <c r="H119" s="181">
        <v>6</v>
      </c>
      <c r="I119" s="171">
        <f>+G119*K$6</f>
        <v>2100</v>
      </c>
      <c r="J119" s="182">
        <v>4.5</v>
      </c>
      <c r="K119" s="173" t="s">
        <v>206</v>
      </c>
      <c r="L119" s="177">
        <v>2</v>
      </c>
    </row>
    <row r="120" spans="1:12" x14ac:dyDescent="0.25">
      <c r="A120" s="175" t="s">
        <v>207</v>
      </c>
      <c r="B120" s="166">
        <v>1</v>
      </c>
      <c r="C120" s="166">
        <v>1</v>
      </c>
      <c r="D120" s="176">
        <f t="shared" si="12"/>
        <v>10</v>
      </c>
      <c r="E120" s="169">
        <f t="shared" si="13"/>
        <v>10</v>
      </c>
      <c r="F120" s="170"/>
      <c r="G120" s="171"/>
      <c r="H120" s="171"/>
      <c r="I120" s="171"/>
      <c r="J120" s="172"/>
      <c r="K120" s="173" t="s">
        <v>208</v>
      </c>
      <c r="L120" s="179">
        <f>+L119*K111</f>
        <v>200</v>
      </c>
    </row>
    <row r="121" spans="1:12" x14ac:dyDescent="0.25">
      <c r="A121" s="175" t="s">
        <v>209</v>
      </c>
      <c r="B121" s="166">
        <v>3</v>
      </c>
      <c r="C121" s="166">
        <v>1</v>
      </c>
      <c r="D121" s="176">
        <f t="shared" si="12"/>
        <v>10</v>
      </c>
      <c r="E121" s="169">
        <f t="shared" si="13"/>
        <v>30</v>
      </c>
      <c r="F121" s="185" t="s">
        <v>210</v>
      </c>
      <c r="G121" s="186">
        <v>4.05</v>
      </c>
      <c r="H121" s="171" t="s">
        <v>211</v>
      </c>
      <c r="I121" s="171"/>
      <c r="J121" s="172"/>
      <c r="K121" s="173" t="s">
        <v>212</v>
      </c>
      <c r="L121" s="179">
        <f>+(L116*K111)+L118+L120</f>
        <v>841.35</v>
      </c>
    </row>
    <row r="122" spans="1:12" ht="13.8" x14ac:dyDescent="0.3">
      <c r="A122" s="175" t="s">
        <v>213</v>
      </c>
      <c r="B122" s="166">
        <v>1.5</v>
      </c>
      <c r="C122" s="166">
        <v>1</v>
      </c>
      <c r="D122" s="176">
        <f t="shared" si="12"/>
        <v>10</v>
      </c>
      <c r="E122" s="169">
        <f t="shared" si="13"/>
        <v>15</v>
      </c>
      <c r="F122" s="170"/>
      <c r="G122" s="171"/>
      <c r="H122" s="149"/>
      <c r="I122" s="187" t="s">
        <v>214</v>
      </c>
      <c r="J122" s="171">
        <f>VLOOKUP(G123,F115:I119,2,FALSE)</f>
        <v>17.5</v>
      </c>
      <c r="K122" s="173" t="s">
        <v>215</v>
      </c>
      <c r="L122" s="188">
        <f>VLOOKUP(G123,F115:I119,3)</f>
        <v>5</v>
      </c>
    </row>
    <row r="123" spans="1:12" x14ac:dyDescent="0.25">
      <c r="A123" s="175" t="s">
        <v>216</v>
      </c>
      <c r="B123" s="166">
        <v>1</v>
      </c>
      <c r="C123" s="166">
        <v>1</v>
      </c>
      <c r="D123" s="176">
        <f t="shared" si="12"/>
        <v>10</v>
      </c>
      <c r="E123" s="169">
        <f t="shared" si="13"/>
        <v>10</v>
      </c>
      <c r="F123" s="185" t="s">
        <v>217</v>
      </c>
      <c r="G123" s="186">
        <v>56</v>
      </c>
      <c r="H123" s="149"/>
      <c r="I123" s="171"/>
      <c r="J123" s="172"/>
      <c r="K123" s="173" t="s">
        <v>218</v>
      </c>
      <c r="L123" s="179">
        <f>+L121/(L122*K111)</f>
        <v>1.6827000000000001</v>
      </c>
    </row>
    <row r="124" spans="1:12" x14ac:dyDescent="0.25">
      <c r="A124" s="175" t="s">
        <v>219</v>
      </c>
      <c r="B124" s="166">
        <v>1</v>
      </c>
      <c r="C124" s="166">
        <v>1</v>
      </c>
      <c r="D124" s="176">
        <f t="shared" si="12"/>
        <v>10</v>
      </c>
      <c r="E124" s="169">
        <f t="shared" si="13"/>
        <v>10</v>
      </c>
      <c r="F124" s="185" t="s">
        <v>88</v>
      </c>
      <c r="G124" s="186">
        <v>18</v>
      </c>
      <c r="H124" s="171"/>
      <c r="I124" s="171"/>
      <c r="J124" s="172"/>
      <c r="K124" s="173" t="s">
        <v>220</v>
      </c>
      <c r="L124" s="179">
        <f>VLOOKUP(G123,F115:J119,5,TRUE)</f>
        <v>4.5</v>
      </c>
    </row>
    <row r="125" spans="1:12" x14ac:dyDescent="0.25">
      <c r="A125" s="175" t="s">
        <v>221</v>
      </c>
      <c r="B125" s="166">
        <v>50</v>
      </c>
      <c r="C125" s="166">
        <v>1</v>
      </c>
      <c r="D125" s="176">
        <v>0.5</v>
      </c>
      <c r="E125" s="169">
        <f t="shared" si="13"/>
        <v>25</v>
      </c>
      <c r="F125" s="185" t="s">
        <v>222</v>
      </c>
      <c r="G125" s="171">
        <f>+G123-G124</f>
        <v>38</v>
      </c>
      <c r="H125" s="171"/>
      <c r="I125" s="171"/>
      <c r="J125" s="172"/>
      <c r="K125" s="173" t="s">
        <v>223</v>
      </c>
      <c r="L125" s="179">
        <f>+L124*L122*(K111-L117)</f>
        <v>2249.7750000000001</v>
      </c>
    </row>
    <row r="126" spans="1:12" x14ac:dyDescent="0.25">
      <c r="A126" s="175" t="s">
        <v>224</v>
      </c>
      <c r="B126" s="166">
        <v>50</v>
      </c>
      <c r="C126" s="166">
        <v>1</v>
      </c>
      <c r="D126" s="176">
        <v>0.5</v>
      </c>
      <c r="E126" s="169">
        <f t="shared" si="13"/>
        <v>25</v>
      </c>
      <c r="F126" s="189"/>
      <c r="G126" s="178"/>
      <c r="H126" s="171"/>
      <c r="I126" s="171"/>
      <c r="J126" s="172"/>
      <c r="K126" s="173" t="s">
        <v>225</v>
      </c>
      <c r="L126" s="190">
        <v>0</v>
      </c>
    </row>
    <row r="127" spans="1:12" x14ac:dyDescent="0.25">
      <c r="A127" s="175" t="s">
        <v>226</v>
      </c>
      <c r="B127" s="166">
        <v>100</v>
      </c>
      <c r="C127" s="166">
        <v>1</v>
      </c>
      <c r="D127" s="176">
        <v>0.14000000000000001</v>
      </c>
      <c r="E127" s="169">
        <f t="shared" si="13"/>
        <v>14.000000000000002</v>
      </c>
      <c r="F127" s="189"/>
      <c r="G127" s="178"/>
      <c r="H127" s="171"/>
      <c r="I127" s="171"/>
      <c r="J127" s="172"/>
      <c r="K127" s="173" t="s">
        <v>227</v>
      </c>
      <c r="L127" s="179">
        <f>+L125*L126</f>
        <v>0</v>
      </c>
    </row>
    <row r="128" spans="1:12" x14ac:dyDescent="0.25">
      <c r="A128" s="175"/>
      <c r="B128" s="166"/>
      <c r="C128" s="191"/>
      <c r="D128" s="192"/>
      <c r="E128" s="169">
        <f t="shared" si="13"/>
        <v>0</v>
      </c>
      <c r="F128" s="189"/>
      <c r="G128" s="178"/>
      <c r="H128" s="171"/>
      <c r="I128" s="171"/>
      <c r="J128" s="172"/>
      <c r="K128" s="173" t="s">
        <v>228</v>
      </c>
      <c r="L128" s="179">
        <f>+L125-L121-L127</f>
        <v>1408.4250000000002</v>
      </c>
    </row>
    <row r="129" spans="1:12" ht="13.8" thickBot="1" x14ac:dyDescent="0.3">
      <c r="A129" s="193" t="s">
        <v>229</v>
      </c>
      <c r="B129" s="194">
        <v>10</v>
      </c>
      <c r="C129" s="195" t="s">
        <v>230</v>
      </c>
      <c r="D129" s="196"/>
      <c r="E129" s="197">
        <f>SUM(E112:E128)</f>
        <v>499</v>
      </c>
      <c r="F129" s="198"/>
      <c r="G129" s="199"/>
      <c r="H129" s="196"/>
      <c r="I129" s="196"/>
      <c r="J129" s="200"/>
      <c r="K129" s="173" t="s">
        <v>231</v>
      </c>
      <c r="L129" s="179">
        <f>+E129</f>
        <v>499</v>
      </c>
    </row>
    <row r="130" spans="1:12" x14ac:dyDescent="0.25">
      <c r="A130" s="156" t="s">
        <v>232</v>
      </c>
      <c r="B130" s="201">
        <f>+G123/7</f>
        <v>8</v>
      </c>
      <c r="C130" s="154" t="s">
        <v>233</v>
      </c>
      <c r="D130" s="154"/>
      <c r="E130" s="155"/>
      <c r="F130" s="156" t="s">
        <v>234</v>
      </c>
      <c r="G130" s="160"/>
      <c r="H130" s="161"/>
      <c r="I130" s="161"/>
      <c r="J130" s="162"/>
      <c r="K130" s="202" t="s">
        <v>235</v>
      </c>
      <c r="L130" s="177">
        <v>25</v>
      </c>
    </row>
    <row r="131" spans="1:12" x14ac:dyDescent="0.25">
      <c r="A131" s="185" t="s">
        <v>236</v>
      </c>
      <c r="B131" s="171"/>
      <c r="C131" s="171" t="s">
        <v>237</v>
      </c>
      <c r="D131" s="171" t="s">
        <v>238</v>
      </c>
      <c r="E131" s="172" t="s">
        <v>239</v>
      </c>
      <c r="F131" s="170" t="s">
        <v>240</v>
      </c>
      <c r="G131" s="178" t="s">
        <v>241</v>
      </c>
      <c r="H131" s="171"/>
      <c r="I131" s="203" t="s">
        <v>242</v>
      </c>
      <c r="J131" s="169">
        <f>+L129*L140</f>
        <v>499</v>
      </c>
      <c r="K131" s="202" t="s">
        <v>243</v>
      </c>
      <c r="L131" s="177">
        <v>10</v>
      </c>
    </row>
    <row r="132" spans="1:12" x14ac:dyDescent="0.25">
      <c r="A132" s="170">
        <v>1</v>
      </c>
      <c r="B132" s="171" t="s">
        <v>244</v>
      </c>
      <c r="C132" s="186">
        <v>1</v>
      </c>
      <c r="D132" s="180">
        <f>+A132/B$25</f>
        <v>0.125</v>
      </c>
      <c r="E132" s="204">
        <f>+D132*C132</f>
        <v>0.125</v>
      </c>
      <c r="F132" s="189" t="s">
        <v>245</v>
      </c>
      <c r="G132" s="205"/>
      <c r="H132" s="171"/>
      <c r="I132" s="203" t="s">
        <v>246</v>
      </c>
      <c r="J132" s="206"/>
      <c r="K132" s="202" t="s">
        <v>247</v>
      </c>
      <c r="L132" s="177">
        <v>0</v>
      </c>
    </row>
    <row r="133" spans="1:12" x14ac:dyDescent="0.25">
      <c r="A133" s="170">
        <v>2</v>
      </c>
      <c r="B133" s="171" t="s">
        <v>248</v>
      </c>
      <c r="C133" s="186">
        <v>0</v>
      </c>
      <c r="D133" s="180">
        <f t="shared" ref="D133:D140" si="14">+A133/B$25</f>
        <v>0.25</v>
      </c>
      <c r="E133" s="204">
        <f t="shared" ref="E133:E140" si="15">+D133*C133</f>
        <v>0</v>
      </c>
      <c r="F133" s="189" t="s">
        <v>249</v>
      </c>
      <c r="G133" s="205"/>
      <c r="H133" s="171"/>
      <c r="I133" s="203" t="s">
        <v>250</v>
      </c>
      <c r="J133" s="207">
        <f>+J131-J132</f>
        <v>499</v>
      </c>
      <c r="K133" s="202" t="s">
        <v>247</v>
      </c>
      <c r="L133" s="177">
        <v>0</v>
      </c>
    </row>
    <row r="134" spans="1:12" x14ac:dyDescent="0.25">
      <c r="A134" s="170">
        <v>3</v>
      </c>
      <c r="B134" s="171" t="s">
        <v>248</v>
      </c>
      <c r="C134" s="186">
        <v>0</v>
      </c>
      <c r="D134" s="180">
        <f t="shared" si="14"/>
        <v>0.375</v>
      </c>
      <c r="E134" s="204">
        <f t="shared" si="15"/>
        <v>0</v>
      </c>
      <c r="F134" s="189" t="s">
        <v>251</v>
      </c>
      <c r="G134" s="205"/>
      <c r="H134" s="171"/>
      <c r="I134" s="171"/>
      <c r="J134" s="172"/>
      <c r="K134" s="173" t="s">
        <v>252</v>
      </c>
      <c r="L134" s="183">
        <f>SUM(L129:L133)</f>
        <v>534</v>
      </c>
    </row>
    <row r="135" spans="1:12" x14ac:dyDescent="0.25">
      <c r="A135" s="170">
        <v>4</v>
      </c>
      <c r="B135" s="171" t="s">
        <v>248</v>
      </c>
      <c r="C135" s="186">
        <v>0</v>
      </c>
      <c r="D135" s="180">
        <f t="shared" si="14"/>
        <v>0.5</v>
      </c>
      <c r="E135" s="204">
        <f t="shared" si="15"/>
        <v>0</v>
      </c>
      <c r="F135" s="170" t="s">
        <v>253</v>
      </c>
      <c r="G135" s="205"/>
      <c r="H135" s="171"/>
      <c r="I135" s="171"/>
      <c r="J135" s="172"/>
      <c r="K135" s="173" t="s">
        <v>254</v>
      </c>
      <c r="L135" s="208">
        <f>+(K111*L122*L140)-(K111*L122*L140*L117)</f>
        <v>495</v>
      </c>
    </row>
    <row r="136" spans="1:12" x14ac:dyDescent="0.25">
      <c r="A136" s="170">
        <v>5</v>
      </c>
      <c r="B136" s="171" t="s">
        <v>248</v>
      </c>
      <c r="C136" s="186">
        <v>0</v>
      </c>
      <c r="D136" s="180">
        <f t="shared" si="14"/>
        <v>0.625</v>
      </c>
      <c r="E136" s="204">
        <f t="shared" si="15"/>
        <v>0</v>
      </c>
      <c r="F136" s="189" t="s">
        <v>255</v>
      </c>
      <c r="G136" s="205"/>
      <c r="H136" s="171"/>
      <c r="I136" s="171"/>
      <c r="J136" s="172"/>
      <c r="K136" s="173" t="s">
        <v>256</v>
      </c>
      <c r="L136" s="208">
        <f>+L140*K111</f>
        <v>100</v>
      </c>
    </row>
    <row r="137" spans="1:12" x14ac:dyDescent="0.25">
      <c r="A137" s="170">
        <v>6</v>
      </c>
      <c r="B137" s="171" t="s">
        <v>248</v>
      </c>
      <c r="C137" s="186">
        <v>0</v>
      </c>
      <c r="D137" s="180">
        <f t="shared" si="14"/>
        <v>0.75</v>
      </c>
      <c r="E137" s="204">
        <f t="shared" si="15"/>
        <v>0</v>
      </c>
      <c r="F137" s="189" t="s">
        <v>257</v>
      </c>
      <c r="G137" s="205"/>
      <c r="H137" s="171"/>
      <c r="I137" s="171"/>
      <c r="J137" s="172"/>
      <c r="K137" s="173" t="s">
        <v>258</v>
      </c>
      <c r="L137" s="208">
        <f>+K111*L140*L112</f>
        <v>1750</v>
      </c>
    </row>
    <row r="138" spans="1:12" x14ac:dyDescent="0.25">
      <c r="A138" s="170">
        <v>7</v>
      </c>
      <c r="B138" s="171" t="s">
        <v>248</v>
      </c>
      <c r="C138" s="186">
        <v>1</v>
      </c>
      <c r="D138" s="180">
        <f t="shared" si="14"/>
        <v>0.875</v>
      </c>
      <c r="E138" s="204">
        <f t="shared" si="15"/>
        <v>0.875</v>
      </c>
      <c r="F138" s="189" t="s">
        <v>259</v>
      </c>
      <c r="G138" s="205"/>
      <c r="H138" s="171"/>
      <c r="I138" s="171"/>
      <c r="J138" s="172"/>
      <c r="K138" s="173" t="s">
        <v>260</v>
      </c>
      <c r="L138" s="179">
        <f>+L137*L113</f>
        <v>525</v>
      </c>
    </row>
    <row r="139" spans="1:12" x14ac:dyDescent="0.25">
      <c r="A139" s="170">
        <v>8</v>
      </c>
      <c r="B139" s="171" t="s">
        <v>248</v>
      </c>
      <c r="C139" s="186">
        <v>0</v>
      </c>
      <c r="D139" s="180">
        <f t="shared" si="14"/>
        <v>1</v>
      </c>
      <c r="E139" s="204">
        <f t="shared" si="15"/>
        <v>0</v>
      </c>
      <c r="F139" s="189" t="s">
        <v>161</v>
      </c>
      <c r="G139" s="205"/>
      <c r="H139" s="171"/>
      <c r="I139" s="171"/>
      <c r="J139" s="172"/>
      <c r="K139" s="209" t="s">
        <v>261</v>
      </c>
      <c r="L139" s="210">
        <f>+L128-L134</f>
        <v>874.42500000000018</v>
      </c>
    </row>
    <row r="140" spans="1:12" x14ac:dyDescent="0.25">
      <c r="A140" s="170">
        <v>9</v>
      </c>
      <c r="B140" s="171" t="s">
        <v>248</v>
      </c>
      <c r="C140" s="186">
        <v>0</v>
      </c>
      <c r="D140" s="211">
        <f t="shared" si="14"/>
        <v>1.125</v>
      </c>
      <c r="E140" s="204">
        <f t="shared" si="15"/>
        <v>0</v>
      </c>
      <c r="F140" s="189" t="s">
        <v>262</v>
      </c>
      <c r="G140" s="205"/>
      <c r="H140" s="212" t="s">
        <v>263</v>
      </c>
      <c r="I140" s="171"/>
      <c r="J140" s="172"/>
      <c r="K140" s="209" t="s">
        <v>264</v>
      </c>
      <c r="L140" s="213">
        <v>1</v>
      </c>
    </row>
    <row r="141" spans="1:12" ht="13.8" thickBot="1" x14ac:dyDescent="0.3">
      <c r="A141" s="170"/>
      <c r="B141" s="171"/>
      <c r="C141" s="171"/>
      <c r="D141" s="171"/>
      <c r="E141" s="172"/>
      <c r="F141" s="189" t="s">
        <v>265</v>
      </c>
      <c r="G141" s="205"/>
      <c r="H141" s="212" t="s">
        <v>266</v>
      </c>
      <c r="I141" s="171"/>
      <c r="J141" s="214"/>
      <c r="K141" s="173" t="s">
        <v>267</v>
      </c>
      <c r="L141" s="215">
        <f>+L139*L140</f>
        <v>874.42500000000018</v>
      </c>
    </row>
    <row r="142" spans="1:12" ht="14.4" thickBot="1" x14ac:dyDescent="0.3">
      <c r="A142" s="216"/>
      <c r="B142" s="217" t="s">
        <v>268</v>
      </c>
      <c r="C142" s="196">
        <f>SUM(C132:C140)</f>
        <v>2</v>
      </c>
      <c r="D142" s="217" t="s">
        <v>269</v>
      </c>
      <c r="E142" s="218">
        <f>SUM(E132:E140)</f>
        <v>1</v>
      </c>
      <c r="F142" s="216"/>
      <c r="G142" s="219">
        <f>SUM(G132:G141)</f>
        <v>0</v>
      </c>
      <c r="H142" s="220">
        <f>+L141</f>
        <v>874.42500000000018</v>
      </c>
      <c r="I142" s="196"/>
      <c r="J142" s="200"/>
      <c r="K142" s="221" t="s">
        <v>270</v>
      </c>
      <c r="L142" s="222">
        <f>+H142-G142</f>
        <v>874.42500000000018</v>
      </c>
    </row>
  </sheetData>
  <phoneticPr fontId="0" type="noConversion"/>
  <hyperlinks>
    <hyperlink ref="A2" r:id="rId1"/>
    <hyperlink ref="A3" r:id="rId2" display="© Copyright 2009 College Suppliers of Alfred - free to use in non-commercial use"/>
  </hyperlinks>
  <pageMargins left="0.25" right="0.25" top="0.75" bottom="0.75" header="0.3" footer="0.3"/>
  <pageSetup scale="77"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Cover</vt:lpstr>
      <vt:lpstr>Feed Calculators</vt:lpstr>
      <vt:lpstr>Egg collection report</vt:lpstr>
      <vt:lpstr>Egg calculator</vt:lpstr>
      <vt:lpstr>Pullet Weights</vt:lpstr>
      <vt:lpstr>Housing Scheduler</vt:lpstr>
      <vt:lpstr>Molt Schedule</vt:lpstr>
      <vt:lpstr>Egg profit calc</vt:lpstr>
      <vt:lpstr>Broiler profit calc</vt:lpstr>
      <vt:lpstr>Retail.Wholesale Price list</vt:lpstr>
      <vt:lpstr>Brooder temps</vt:lpstr>
      <vt:lpstr>'Broiler profit calc'!Print_Area</vt:lpstr>
      <vt:lpstr>'Egg profit calc'!Print_Area</vt:lpstr>
      <vt:lpstr>'Feed Calculators'!Print_Area</vt:lpstr>
    </vt:vector>
  </TitlesOfParts>
  <Company>CSA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TK2</dc:creator>
  <cp:lastModifiedBy>Sera Hartman</cp:lastModifiedBy>
  <cp:lastPrinted>2012-02-28T19:43:33Z</cp:lastPrinted>
  <dcterms:created xsi:type="dcterms:W3CDTF">2008-08-13T15:59:46Z</dcterms:created>
  <dcterms:modified xsi:type="dcterms:W3CDTF">2019-07-19T16:43:12Z</dcterms:modified>
</cp:coreProperties>
</file>